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11604" windowHeight="7140" activeTab="0"/>
  </bookViews>
  <sheets>
    <sheet name="Corrigé TD2" sheetId="1" r:id="rId1"/>
    <sheet name="Feuil3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Alain BOUSQUET-MELOU</author>
  </authors>
  <commentList>
    <comment ref="E77" authorId="0">
      <text>
        <r>
          <rPr>
            <b/>
            <sz val="8"/>
            <rFont val="Tahoma"/>
            <family val="2"/>
          </rPr>
          <t>Definition of a volume of distribution:
"proportionality constant between the quantity present in the body and the plasma concentration" (when distribution equilibrium is reached)</t>
        </r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Qorganism (t) = Vd x Cplasma</t>
        </r>
      </text>
    </comment>
  </commentList>
</comments>
</file>

<file path=xl/sharedStrings.xml><?xml version="1.0" encoding="utf-8"?>
<sst xmlns="http://schemas.openxmlformats.org/spreadsheetml/2006/main" count="132" uniqueCount="109">
  <si>
    <t>Dose</t>
  </si>
  <si>
    <t>mg/kg</t>
  </si>
  <si>
    <t>ml/min/kg</t>
  </si>
  <si>
    <t>h</t>
  </si>
  <si>
    <t>T (min)</t>
  </si>
  <si>
    <t>AUC[1-720]</t>
  </si>
  <si>
    <t>AUC[720-inf]</t>
  </si>
  <si>
    <t>C(µg/mL)</t>
  </si>
  <si>
    <t>µg.min/mL</t>
  </si>
  <si>
    <t>L/min/kg</t>
  </si>
  <si>
    <t>Question 4</t>
  </si>
  <si>
    <t>fu</t>
  </si>
  <si>
    <t>X urine</t>
  </si>
  <si>
    <t>mg</t>
  </si>
  <si>
    <t>L/min</t>
  </si>
  <si>
    <t>Question 5</t>
  </si>
  <si>
    <t>Question 6</t>
  </si>
  <si>
    <t>T 1/2</t>
  </si>
  <si>
    <t>min</t>
  </si>
  <si>
    <t>Vd</t>
  </si>
  <si>
    <t>L/kg</t>
  </si>
  <si>
    <t>µg/mL</t>
  </si>
  <si>
    <t>mL/kg</t>
  </si>
  <si>
    <t>% dans plasma</t>
  </si>
  <si>
    <t>Question 7</t>
  </si>
  <si>
    <t>µg/min/kg</t>
  </si>
  <si>
    <t>mg/kg/24h</t>
  </si>
  <si>
    <t>mg/kg/12h</t>
  </si>
  <si>
    <t>Posologie</t>
  </si>
  <si>
    <t>Question 8</t>
  </si>
  <si>
    <t>Dose SC</t>
  </si>
  <si>
    <t>Question 2</t>
  </si>
  <si>
    <t>Question 3</t>
  </si>
  <si>
    <t>Question 9</t>
  </si>
  <si>
    <t>V plasma</t>
  </si>
  <si>
    <t xml:space="preserve"> </t>
  </si>
  <si>
    <t xml:space="preserve">  </t>
  </si>
  <si>
    <t xml:space="preserve">     </t>
  </si>
  <si>
    <t>AUC[1-inf]</t>
  </si>
  <si>
    <t>100-110</t>
  </si>
  <si>
    <t>50-55</t>
  </si>
  <si>
    <t>% du max</t>
  </si>
  <si>
    <t>Mécanismes de l'excrétion rénale : filtration, sécrétion, réabsorption</t>
  </si>
  <si>
    <t>Cl filration</t>
  </si>
  <si>
    <t>=Vd*Cplasma'</t>
  </si>
  <si>
    <t>Q plasma</t>
  </si>
  <si>
    <t>µg/kg</t>
  </si>
  <si>
    <t>= V plasma / V distribution</t>
  </si>
  <si>
    <t>Log nep (C)</t>
  </si>
  <si>
    <t>mL/min/kg</t>
  </si>
  <si>
    <t>=T1/2*Cl/Ln(2)</t>
  </si>
  <si>
    <t>Question 10</t>
  </si>
  <si>
    <t>=(AUCsc/AUCiv)*(Div/Dsc)</t>
  </si>
  <si>
    <t>=Div / Fsc</t>
  </si>
  <si>
    <t>Formulation SC</t>
  </si>
  <si>
    <r>
      <t>min</t>
    </r>
    <r>
      <rPr>
        <vertAlign val="superscript"/>
        <sz val="8"/>
        <color indexed="17"/>
        <rFont val="Arial"/>
        <family val="2"/>
      </rPr>
      <t>-1</t>
    </r>
  </si>
  <si>
    <t>=2^(tau/t1/2)=2^(720/99)</t>
  </si>
  <si>
    <t>=Clast/slope</t>
  </si>
  <si>
    <t>Clearance</t>
  </si>
  <si>
    <t>Cardiac output</t>
  </si>
  <si>
    <t>Clearance max</t>
  </si>
  <si>
    <t>=Dose / AUC</t>
  </si>
  <si>
    <t>= 50% of  cardiac output</t>
  </si>
  <si>
    <t>Strong for a drug</t>
  </si>
  <si>
    <t>Cl renal</t>
  </si>
  <si>
    <t>=X urine / AUC</t>
  </si>
  <si>
    <t>GFR</t>
  </si>
  <si>
    <t>GFR = 2-4 mL/min/kg</t>
  </si>
  <si>
    <t>=fu * GFR"</t>
  </si>
  <si>
    <t>Secretion and re-absorption are nul or compense each other</t>
  </si>
  <si>
    <t>NO dosage adjustment because the kidneys have a very low contribution to elimination (body clearance)</t>
  </si>
  <si>
    <t>Cl hepatic</t>
  </si>
  <si>
    <t>= Cl total - Cl renal</t>
  </si>
  <si>
    <t>Dosage adjustment required because the liver is the main (sole) contributor to elimination (body clearance)</t>
  </si>
  <si>
    <t>Steps : absorption,  first-pass intestinal metabolism,  first-pass hepatic metabolism</t>
  </si>
  <si>
    <t>= 30% of cardiac output</t>
  </si>
  <si>
    <t>F oral,max = Fh = 1-Eh=1-Clh/Qh</t>
  </si>
  <si>
    <t>"=  the fraction that "escapes" to the liver"</t>
  </si>
  <si>
    <t>=ln(2)/slope</t>
  </si>
  <si>
    <t>Concentration</t>
  </si>
  <si>
    <t>Q organism</t>
  </si>
  <si>
    <t>V blood</t>
  </si>
  <si>
    <t>7% body weight</t>
  </si>
  <si>
    <t>4% body weight (Hte = 40-50%)</t>
  </si>
  <si>
    <t>No dialysis : the quantity present in the plasma is too low</t>
  </si>
  <si>
    <t>Rate entry = Rate elimination</t>
  </si>
  <si>
    <t>Ctarget (mean)</t>
  </si>
  <si>
    <t xml:space="preserve">Rate entry = </t>
  </si>
  <si>
    <t>we multiply by 24x60min</t>
  </si>
  <si>
    <t>we multiply by 12x60min</t>
  </si>
  <si>
    <t>AUCsc</t>
  </si>
  <si>
    <t>Fsc</t>
  </si>
  <si>
    <t>Dosage</t>
  </si>
  <si>
    <t>T1/2 sc</t>
  </si>
  <si>
    <t>T1/2 sc &gt; T1/2 iv</t>
  </si>
  <si>
    <t>= Slow release formulation, Long-acting formulation</t>
  </si>
  <si>
    <t>Rate entry  = Clearance*Ctarget</t>
  </si>
  <si>
    <t>C minimal</t>
  </si>
  <si>
    <t>Dosage over-estimated because Cmean over-estimated</t>
  </si>
  <si>
    <t>Trapezes</t>
  </si>
  <si>
    <t>slope =</t>
  </si>
  <si>
    <t>Hepatic blood flow</t>
  </si>
  <si>
    <t>F oral,max</t>
  </si>
  <si>
    <t>When oral bioavailability is LOW, it is HIGHLY VARIABLE between subjects</t>
  </si>
  <si>
    <t>=Vplasma*Cplasma</t>
  </si>
  <si>
    <t>Cmean</t>
  </si>
  <si>
    <t>Cmax/Cmin</t>
  </si>
  <si>
    <t>The terminal half-life is much longer : it is no longer controlled by elimination, it is controlled by the rate of absorption</t>
  </si>
  <si>
    <t>Reduce the number of doses required compared to the non-LA formulation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</si>
</sst>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0"/>
    <numFmt numFmtId="168" formatCode="0.00000"/>
    <numFmt numFmtId="169" formatCode="0.0000"/>
    <numFmt numFmtId="170" formatCode="0.0000000"/>
    <numFmt numFmtId="171" formatCode="0.000000"/>
    <numFmt numFmtId="172" formatCode="0.0%"/>
    <numFmt numFmtId="173" formatCode="0.000000000000000%"/>
    <numFmt numFmtId="174" formatCode="0.00000000000000%"/>
    <numFmt numFmtId="175" formatCode="0.0000000000000%"/>
    <numFmt numFmtId="176" formatCode="0.000000000000%"/>
    <numFmt numFmtId="177" formatCode="0.00000000000%"/>
    <numFmt numFmtId="178" formatCode="0.0000000000%"/>
    <numFmt numFmtId="179" formatCode="0.000000000%"/>
    <numFmt numFmtId="180" formatCode="0.00000000%"/>
    <numFmt numFmtId="181" formatCode="0.0000000%"/>
    <numFmt numFmtId="182" formatCode="0.000000%"/>
    <numFmt numFmtId="183" formatCode="0.00000%"/>
    <numFmt numFmtId="184" formatCode="0.0000%"/>
    <numFmt numFmtId="185" formatCode="0.000%"/>
    <numFmt numFmtId="186" formatCode="0.0000000000"/>
    <numFmt numFmtId="187" formatCode="0.00000000000"/>
    <numFmt numFmtId="188" formatCode="0.000000000000"/>
    <numFmt numFmtId="189" formatCode="0.000000000"/>
    <numFmt numFmtId="190" formatCode="0.00000000"/>
  </numFmts>
  <fonts count="6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8"/>
      <color indexed="17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00206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theme="6" tint="-0.24997000396251678"/>
      <name val="Arial"/>
      <family val="2"/>
    </font>
    <font>
      <sz val="8"/>
      <color rgb="FF00B05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9" fontId="1" fillId="0" borderId="0" xfId="52" applyFont="1" applyBorder="1" applyAlignment="1">
      <alignment/>
    </xf>
    <xf numFmtId="2" fontId="1" fillId="0" borderId="0" xfId="52" applyNumberFormat="1" applyFont="1" applyBorder="1" applyAlignment="1">
      <alignment/>
    </xf>
    <xf numFmtId="2" fontId="5" fillId="0" borderId="0" xfId="5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52" applyNumberFormat="1" applyFont="1" applyBorder="1" applyAlignment="1">
      <alignment/>
    </xf>
    <xf numFmtId="172" fontId="1" fillId="0" borderId="0" xfId="52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1" fontId="0" fillId="0" borderId="13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1" xfId="0" applyFont="1" applyBorder="1" applyAlignment="1">
      <alignment/>
    </xf>
    <xf numFmtId="9" fontId="1" fillId="0" borderId="13" xfId="52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ill="1" applyBorder="1" applyAlignment="1">
      <alignment/>
    </xf>
    <xf numFmtId="1" fontId="0" fillId="0" borderId="0" xfId="52" applyNumberFormat="1" applyFont="1" applyBorder="1" applyAlignment="1">
      <alignment/>
    </xf>
    <xf numFmtId="2" fontId="0" fillId="0" borderId="13" xfId="0" applyNumberFormat="1" applyBorder="1" applyAlignment="1">
      <alignment/>
    </xf>
    <xf numFmtId="171" fontId="0" fillId="0" borderId="0" xfId="0" applyNumberFormat="1" applyBorder="1" applyAlignment="1">
      <alignment/>
    </xf>
    <xf numFmtId="2" fontId="0" fillId="0" borderId="0" xfId="52" applyNumberFormat="1" applyBorder="1" applyAlignment="1">
      <alignment/>
    </xf>
    <xf numFmtId="172" fontId="0" fillId="0" borderId="0" xfId="52" applyNumberFormat="1" applyBorder="1" applyAlignment="1">
      <alignment/>
    </xf>
    <xf numFmtId="1" fontId="0" fillId="0" borderId="0" xfId="52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3" xfId="52" applyNumberFormat="1" applyBorder="1" applyAlignment="1">
      <alignment/>
    </xf>
    <xf numFmtId="2" fontId="0" fillId="0" borderId="0" xfId="52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Font="1" applyAlignment="1">
      <alignment/>
    </xf>
    <xf numFmtId="1" fontId="59" fillId="0" borderId="14" xfId="0" applyNumberFormat="1" applyFont="1" applyBorder="1" applyAlignment="1">
      <alignment/>
    </xf>
    <xf numFmtId="0" fontId="59" fillId="0" borderId="14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2" fontId="60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1" fillId="0" borderId="13" xfId="0" applyFont="1" applyBorder="1" applyAlignment="1">
      <alignment/>
    </xf>
    <xf numFmtId="2" fontId="61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59" fillId="0" borderId="11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 quotePrefix="1">
      <alignment/>
    </xf>
    <xf numFmtId="1" fontId="62" fillId="0" borderId="0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 quotePrefix="1">
      <alignment/>
    </xf>
    <xf numFmtId="166" fontId="0" fillId="0" borderId="0" xfId="52" applyNumberForma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0" fontId="59" fillId="0" borderId="14" xfId="52" applyNumberFormat="1" applyFont="1" applyBorder="1" applyAlignment="1">
      <alignment/>
    </xf>
    <xf numFmtId="0" fontId="59" fillId="0" borderId="14" xfId="0" applyFont="1" applyFill="1" applyBorder="1" applyAlignment="1">
      <alignment/>
    </xf>
    <xf numFmtId="0" fontId="59" fillId="0" borderId="14" xfId="0" applyFont="1" applyBorder="1" applyAlignment="1" quotePrefix="1">
      <alignment/>
    </xf>
    <xf numFmtId="1" fontId="3" fillId="0" borderId="0" xfId="52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3" fontId="0" fillId="0" borderId="0" xfId="52" applyNumberFormat="1" applyBorder="1" applyAlignment="1">
      <alignment/>
    </xf>
    <xf numFmtId="1" fontId="2" fillId="0" borderId="14" xfId="52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59" fillId="0" borderId="11" xfId="0" applyFont="1" applyBorder="1" applyAlignment="1">
      <alignment/>
    </xf>
    <xf numFmtId="1" fontId="59" fillId="0" borderId="14" xfId="52" applyNumberFormat="1" applyFont="1" applyBorder="1" applyAlignment="1" quotePrefix="1">
      <alignment/>
    </xf>
    <xf numFmtId="0" fontId="59" fillId="0" borderId="14" xfId="0" applyFont="1" applyFill="1" applyBorder="1" applyAlignment="1" quotePrefix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14" xfId="0" applyFont="1" applyFill="1" applyBorder="1" applyAlignment="1">
      <alignment horizontal="center"/>
    </xf>
    <xf numFmtId="2" fontId="9" fillId="0" borderId="14" xfId="0" applyNumberFormat="1" applyFont="1" applyBorder="1" applyAlignment="1">
      <alignment/>
    </xf>
    <xf numFmtId="0" fontId="3" fillId="33" borderId="22" xfId="0" applyFont="1" applyFill="1" applyBorder="1" applyAlignment="1">
      <alignment/>
    </xf>
    <xf numFmtId="1" fontId="1" fillId="0" borderId="0" xfId="52" applyNumberFormat="1" applyFont="1" applyBorder="1" applyAlignment="1">
      <alignment/>
    </xf>
    <xf numFmtId="0" fontId="63" fillId="0" borderId="15" xfId="0" applyFont="1" applyFill="1" applyBorder="1" applyAlignment="1">
      <alignment/>
    </xf>
    <xf numFmtId="1" fontId="63" fillId="0" borderId="0" xfId="0" applyNumberFormat="1" applyFont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63" fillId="0" borderId="16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62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16" xfId="0" applyFont="1" applyBorder="1" applyAlignment="1">
      <alignment/>
    </xf>
    <xf numFmtId="167" fontId="64" fillId="33" borderId="0" xfId="0" applyNumberFormat="1" applyFont="1" applyFill="1" applyBorder="1" applyAlignment="1">
      <alignment/>
    </xf>
    <xf numFmtId="169" fontId="0" fillId="0" borderId="23" xfId="0" applyNumberForma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62" fillId="0" borderId="0" xfId="0" applyFont="1" applyBorder="1" applyAlignment="1">
      <alignment horizontal="left" wrapText="1" shrinkToFit="1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59" fillId="0" borderId="1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225"/>
          <c:w val="0.95075"/>
          <c:h val="0.9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'Corrigé TD2'!$B$4:$B$14</c:f>
              <c:numCache/>
            </c:numRef>
          </c:xVal>
          <c:yVal>
            <c:numRef>
              <c:f>'Corrigé TD2'!$C$4:$C$14</c:f>
              <c:numCache/>
            </c:numRef>
          </c:yVal>
          <c:smooth val="0"/>
        </c:ser>
        <c:axId val="65228553"/>
        <c:axId val="50186066"/>
      </c:scatterChart>
      <c:val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6066"/>
        <c:crossesAt val="0.01"/>
        <c:crossBetween val="midCat"/>
        <c:dispUnits/>
      </c:valAx>
      <c:valAx>
        <c:axId val="5018606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66675</xdr:rowOff>
    </xdr:from>
    <xdr:to>
      <xdr:col>10</xdr:col>
      <xdr:colOff>238125</xdr:colOff>
      <xdr:row>15</xdr:row>
      <xdr:rowOff>57150</xdr:rowOff>
    </xdr:to>
    <xdr:graphicFrame>
      <xdr:nvGraphicFramePr>
        <xdr:cNvPr id="1" name="Graphique 2"/>
        <xdr:cNvGraphicFramePr/>
      </xdr:nvGraphicFramePr>
      <xdr:xfrm>
        <a:off x="3600450" y="66675"/>
        <a:ext cx="37528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676275</xdr:colOff>
      <xdr:row>113</xdr:row>
      <xdr:rowOff>104775</xdr:rowOff>
    </xdr:from>
    <xdr:to>
      <xdr:col>11</xdr:col>
      <xdr:colOff>304800</xdr:colOff>
      <xdr:row>120</xdr:row>
      <xdr:rowOff>57150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8745200"/>
          <a:ext cx="2771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22"/>
  <sheetViews>
    <sheetView tabSelected="1" zoomScale="170" zoomScaleNormal="170" zoomScalePageLayoutView="0" workbookViewId="0" topLeftCell="A103">
      <selection activeCell="I123" sqref="I123"/>
    </sheetView>
  </sheetViews>
  <sheetFormatPr defaultColWidth="9.28125" defaultRowHeight="12.75"/>
  <cols>
    <col min="1" max="1" width="4.00390625" style="0" customWidth="1"/>
    <col min="2" max="2" width="18.28125" style="0" customWidth="1"/>
    <col min="3" max="3" width="11.28125" style="0" customWidth="1"/>
    <col min="4" max="4" width="13.421875" style="0" customWidth="1"/>
    <col min="5" max="5" width="10.421875" style="0" customWidth="1"/>
    <col min="6" max="6" width="11.421875" style="0" customWidth="1"/>
    <col min="7" max="7" width="12.57421875" style="0" customWidth="1"/>
    <col min="8" max="8" width="6.7109375" style="0" customWidth="1"/>
  </cols>
  <sheetData>
    <row r="2" spans="4:5" ht="13.5" thickBot="1">
      <c r="D2" s="118" t="s">
        <v>99</v>
      </c>
      <c r="E2" s="118"/>
    </row>
    <row r="3" spans="2:7" ht="12.75">
      <c r="B3" s="95" t="s">
        <v>4</v>
      </c>
      <c r="C3" s="96" t="s">
        <v>7</v>
      </c>
      <c r="D3" s="67"/>
      <c r="E3" s="60"/>
      <c r="F3" s="58"/>
      <c r="G3" s="59" t="s">
        <v>48</v>
      </c>
    </row>
    <row r="4" spans="2:7" ht="12.75">
      <c r="B4" s="97">
        <v>1</v>
      </c>
      <c r="C4" s="98">
        <v>4.97</v>
      </c>
      <c r="D4" s="68"/>
      <c r="E4" s="61"/>
      <c r="F4" s="2"/>
      <c r="G4" s="55"/>
    </row>
    <row r="5" spans="2:7" ht="12.75">
      <c r="B5" s="97">
        <v>5</v>
      </c>
      <c r="C5" s="98">
        <v>4.84</v>
      </c>
      <c r="D5" s="69">
        <f>(B5-B4)*AVERAGE(C4:C5)</f>
        <v>19.619999999999997</v>
      </c>
      <c r="E5" s="62"/>
      <c r="F5" s="2"/>
      <c r="G5" s="55">
        <f aca="true" t="shared" si="0" ref="G5:G14">LN(C5)</f>
        <v>1.5769147207285403</v>
      </c>
    </row>
    <row r="6" spans="2:7" ht="12.75">
      <c r="B6" s="97">
        <v>10</v>
      </c>
      <c r="C6" s="98">
        <v>4.68</v>
      </c>
      <c r="D6" s="69">
        <f aca="true" t="shared" si="1" ref="D6:D14">(B6-B5)*AVERAGE(C5:C6)</f>
        <v>23.799999999999997</v>
      </c>
      <c r="E6" s="62"/>
      <c r="F6" s="2"/>
      <c r="G6" s="55">
        <f t="shared" si="0"/>
        <v>1.5432981099295553</v>
      </c>
    </row>
    <row r="7" spans="2:7" ht="12.75">
      <c r="B7" s="97">
        <v>20</v>
      </c>
      <c r="C7" s="98">
        <v>4.38</v>
      </c>
      <c r="D7" s="69">
        <f t="shared" si="1"/>
        <v>45.3</v>
      </c>
      <c r="E7" s="62"/>
      <c r="F7" s="2"/>
      <c r="G7" s="55">
        <f t="shared" si="0"/>
        <v>1.4770487243883548</v>
      </c>
    </row>
    <row r="8" spans="2:7" ht="12.75">
      <c r="B8" s="97">
        <v>30</v>
      </c>
      <c r="C8" s="98">
        <v>4.09</v>
      </c>
      <c r="D8" s="69">
        <f t="shared" si="1"/>
        <v>42.349999999999994</v>
      </c>
      <c r="E8" s="62"/>
      <c r="F8" s="2"/>
      <c r="G8" s="55">
        <f t="shared" si="0"/>
        <v>1.4085449700547104</v>
      </c>
    </row>
    <row r="9" spans="2:15" ht="12.75">
      <c r="B9" s="97">
        <v>60</v>
      </c>
      <c r="C9" s="98">
        <v>3.35</v>
      </c>
      <c r="D9" s="69">
        <f t="shared" si="1"/>
        <v>111.6</v>
      </c>
      <c r="E9" s="62"/>
      <c r="F9" s="2"/>
      <c r="G9" s="55">
        <f t="shared" si="0"/>
        <v>1.208960345836975</v>
      </c>
      <c r="O9" t="s">
        <v>35</v>
      </c>
    </row>
    <row r="10" spans="2:7" ht="12.75">
      <c r="B10" s="97">
        <v>120</v>
      </c>
      <c r="C10" s="98">
        <v>2.25</v>
      </c>
      <c r="D10" s="69">
        <f t="shared" si="1"/>
        <v>168</v>
      </c>
      <c r="E10" s="62"/>
      <c r="F10" s="2"/>
      <c r="G10" s="55">
        <f>LN(C10)</f>
        <v>0.8109302162163288</v>
      </c>
    </row>
    <row r="11" spans="2:7" ht="12.75">
      <c r="B11" s="97">
        <v>240</v>
      </c>
      <c r="C11" s="98">
        <v>1.01</v>
      </c>
      <c r="D11" s="69">
        <f t="shared" si="1"/>
        <v>195.6</v>
      </c>
      <c r="E11" s="62"/>
      <c r="F11" s="2"/>
      <c r="G11" s="55">
        <f t="shared" si="0"/>
        <v>0.009950330853168092</v>
      </c>
    </row>
    <row r="12" spans="2:7" ht="12.75">
      <c r="B12" s="97">
        <v>360</v>
      </c>
      <c r="C12" s="98">
        <v>0.45</v>
      </c>
      <c r="D12" s="69">
        <f t="shared" si="1"/>
        <v>87.6</v>
      </c>
      <c r="E12" s="62"/>
      <c r="F12" s="2"/>
      <c r="G12" s="55">
        <f t="shared" si="0"/>
        <v>-0.7985076962177716</v>
      </c>
    </row>
    <row r="13" spans="2:16" ht="12.75">
      <c r="B13" s="97">
        <v>480</v>
      </c>
      <c r="C13" s="98">
        <v>0.2</v>
      </c>
      <c r="D13" s="69">
        <f t="shared" si="1"/>
        <v>39</v>
      </c>
      <c r="E13" s="62"/>
      <c r="F13" s="2"/>
      <c r="G13" s="55">
        <f t="shared" si="0"/>
        <v>-1.6094379124341003</v>
      </c>
      <c r="H13" t="s">
        <v>35</v>
      </c>
      <c r="P13" t="s">
        <v>35</v>
      </c>
    </row>
    <row r="14" spans="2:7" ht="13.5" thickBot="1">
      <c r="B14" s="99">
        <v>720</v>
      </c>
      <c r="C14" s="116">
        <v>0.0412</v>
      </c>
      <c r="D14" s="69">
        <f t="shared" si="1"/>
        <v>28.944000000000003</v>
      </c>
      <c r="E14" s="62"/>
      <c r="F14" s="2"/>
      <c r="G14" s="55">
        <f t="shared" si="0"/>
        <v>-3.1893170226266565</v>
      </c>
    </row>
    <row r="15" spans="4:5" ht="12.75">
      <c r="D15" s="70"/>
      <c r="E15" s="63"/>
    </row>
    <row r="16" spans="4:5" ht="12.75">
      <c r="D16" s="70"/>
      <c r="E16" s="63"/>
    </row>
    <row r="17" spans="2:7" ht="12.75">
      <c r="B17" s="102" t="s">
        <v>31</v>
      </c>
      <c r="C17" s="11"/>
      <c r="D17" s="71"/>
      <c r="E17" s="64"/>
      <c r="F17" s="11"/>
      <c r="G17" s="5"/>
    </row>
    <row r="18" spans="2:7" ht="12.75">
      <c r="B18" s="26" t="s">
        <v>5</v>
      </c>
      <c r="C18" s="17"/>
      <c r="D18" s="72">
        <f>SUM(D5:D14)</f>
        <v>761.814</v>
      </c>
      <c r="E18" s="65"/>
      <c r="F18" s="9"/>
      <c r="G18" s="27"/>
    </row>
    <row r="19" spans="2:7" ht="12.75">
      <c r="B19" s="26"/>
      <c r="C19" s="112"/>
      <c r="E19" s="113" t="s">
        <v>100</v>
      </c>
      <c r="F19" s="115">
        <v>0.007</v>
      </c>
      <c r="G19" s="114" t="s">
        <v>55</v>
      </c>
    </row>
    <row r="20" spans="2:7" ht="12.75">
      <c r="B20" s="26" t="s">
        <v>6</v>
      </c>
      <c r="C20" s="17"/>
      <c r="D20" s="72">
        <f>C14/F19</f>
        <v>5.885714285714285</v>
      </c>
      <c r="E20" s="65"/>
      <c r="F20" s="73" t="s">
        <v>57</v>
      </c>
      <c r="G20" s="29"/>
    </row>
    <row r="21" spans="2:7" ht="12.75">
      <c r="B21" s="26"/>
      <c r="C21" s="17"/>
      <c r="D21" s="17"/>
      <c r="E21" s="66"/>
      <c r="F21" s="28"/>
      <c r="G21" s="29"/>
    </row>
    <row r="22" spans="2:7" ht="12.75">
      <c r="B22" s="39" t="s">
        <v>38</v>
      </c>
      <c r="C22" s="100"/>
      <c r="D22" s="117">
        <f>SUM(D18,D20)</f>
        <v>767.6997142857142</v>
      </c>
      <c r="E22" s="101"/>
      <c r="F22" s="30"/>
      <c r="G22" s="31"/>
    </row>
    <row r="23" spans="6:7" ht="12.75">
      <c r="F23" s="1"/>
      <c r="G23" s="1"/>
    </row>
    <row r="24" spans="6:7" ht="12.75">
      <c r="F24" s="1"/>
      <c r="G24" s="1"/>
    </row>
    <row r="25" spans="2:7" ht="12.75">
      <c r="B25" s="102" t="s">
        <v>32</v>
      </c>
      <c r="C25" s="11"/>
      <c r="D25" s="11"/>
      <c r="E25" s="11"/>
      <c r="F25" s="32"/>
      <c r="G25" s="33"/>
    </row>
    <row r="26" spans="2:11" ht="12.75">
      <c r="B26" s="26"/>
      <c r="C26" s="9"/>
      <c r="D26" s="9"/>
      <c r="E26" s="9"/>
      <c r="F26" s="9"/>
      <c r="G26" s="27"/>
      <c r="I26" s="1"/>
      <c r="K26" s="4"/>
    </row>
    <row r="27" spans="2:11" ht="12.75">
      <c r="B27" s="26" t="s">
        <v>0</v>
      </c>
      <c r="C27" s="9">
        <v>20</v>
      </c>
      <c r="D27" s="9" t="s">
        <v>1</v>
      </c>
      <c r="E27" s="9"/>
      <c r="F27" s="9"/>
      <c r="G27" s="27"/>
      <c r="I27" s="1"/>
      <c r="K27" s="4"/>
    </row>
    <row r="28" spans="2:11" ht="12.75">
      <c r="B28" s="26"/>
      <c r="C28" s="9"/>
      <c r="D28" s="9"/>
      <c r="E28" s="9"/>
      <c r="F28" s="9"/>
      <c r="G28" s="27"/>
      <c r="H28" s="3"/>
      <c r="I28" s="1"/>
      <c r="K28" s="4"/>
    </row>
    <row r="29" spans="2:11" ht="12.75">
      <c r="B29" s="34" t="s">
        <v>58</v>
      </c>
      <c r="C29" s="8">
        <f>C27/D22</f>
        <v>0.026051852863601063</v>
      </c>
      <c r="D29" s="9" t="s">
        <v>9</v>
      </c>
      <c r="E29" s="73" t="s">
        <v>61</v>
      </c>
      <c r="F29" s="9"/>
      <c r="G29" s="27"/>
      <c r="H29" s="3"/>
      <c r="I29" s="1"/>
      <c r="K29" s="4"/>
    </row>
    <row r="30" spans="2:11" ht="12.75">
      <c r="B30" s="26"/>
      <c r="C30" s="109">
        <f>C29*1000</f>
        <v>26.051852863601063</v>
      </c>
      <c r="D30" s="17" t="s">
        <v>49</v>
      </c>
      <c r="E30" s="9"/>
      <c r="F30" s="9"/>
      <c r="G30" s="27"/>
      <c r="H30" s="3"/>
      <c r="I30" s="1"/>
      <c r="K30" s="4"/>
    </row>
    <row r="31" spans="2:11" ht="12.75">
      <c r="B31" s="26"/>
      <c r="C31" s="14"/>
      <c r="D31" s="9"/>
      <c r="E31" s="9"/>
      <c r="F31" s="9"/>
      <c r="G31" s="27"/>
      <c r="H31" s="3"/>
      <c r="I31" s="1"/>
      <c r="K31" s="4"/>
    </row>
    <row r="32" spans="2:11" ht="12.75">
      <c r="B32" s="110" t="s">
        <v>59</v>
      </c>
      <c r="C32" s="77" t="s">
        <v>39</v>
      </c>
      <c r="D32" s="75" t="s">
        <v>49</v>
      </c>
      <c r="E32" s="9"/>
      <c r="F32" s="9"/>
      <c r="G32" s="27"/>
      <c r="H32" s="3"/>
      <c r="I32" s="1"/>
      <c r="K32" s="4"/>
    </row>
    <row r="33" spans="2:11" ht="12.75">
      <c r="B33" s="26" t="s">
        <v>60</v>
      </c>
      <c r="C33" s="111" t="s">
        <v>40</v>
      </c>
      <c r="D33" s="51" t="s">
        <v>49</v>
      </c>
      <c r="E33" s="76" t="s">
        <v>62</v>
      </c>
      <c r="F33" s="75"/>
      <c r="G33" s="27"/>
      <c r="H33" s="3" t="s">
        <v>35</v>
      </c>
      <c r="I33" s="1"/>
      <c r="K33" s="4"/>
    </row>
    <row r="34" spans="2:11" ht="12.75">
      <c r="B34" s="6" t="s">
        <v>58</v>
      </c>
      <c r="C34" s="56">
        <v>50</v>
      </c>
      <c r="D34" s="57" t="s">
        <v>41</v>
      </c>
      <c r="E34" s="35" t="s">
        <v>63</v>
      </c>
      <c r="F34" s="12"/>
      <c r="G34" s="7"/>
      <c r="H34" s="3"/>
      <c r="I34" s="1"/>
      <c r="K34" s="4"/>
    </row>
    <row r="35" spans="2:11" ht="12.75">
      <c r="B35" s="9"/>
      <c r="C35" s="13"/>
      <c r="D35" s="9"/>
      <c r="H35" s="3"/>
      <c r="I35" s="1"/>
      <c r="K35" s="4"/>
    </row>
    <row r="36" spans="2:11" ht="12.75">
      <c r="B36" s="9"/>
      <c r="C36" s="13"/>
      <c r="D36" s="9"/>
      <c r="H36" s="3"/>
      <c r="I36" s="1"/>
      <c r="K36" s="4"/>
    </row>
    <row r="37" spans="2:11" ht="12.75">
      <c r="B37" s="102" t="s">
        <v>10</v>
      </c>
      <c r="C37" s="36"/>
      <c r="D37" s="11"/>
      <c r="E37" s="11"/>
      <c r="F37" s="11"/>
      <c r="G37" s="5"/>
      <c r="H37" s="3"/>
      <c r="I37" s="1"/>
      <c r="K37" s="4"/>
    </row>
    <row r="38" spans="2:11" ht="12.75">
      <c r="B38" s="26" t="s">
        <v>11</v>
      </c>
      <c r="C38" s="14">
        <f>1-0.84</f>
        <v>0.16000000000000003</v>
      </c>
      <c r="D38" s="9"/>
      <c r="E38" s="9"/>
      <c r="F38" s="9"/>
      <c r="G38" s="27"/>
      <c r="H38" s="3"/>
      <c r="I38" s="1"/>
      <c r="K38" s="4"/>
    </row>
    <row r="39" spans="2:11" ht="12.75">
      <c r="B39" s="37" t="s">
        <v>12</v>
      </c>
      <c r="C39" s="9">
        <v>10</v>
      </c>
      <c r="D39" s="9" t="s">
        <v>13</v>
      </c>
      <c r="E39" s="9"/>
      <c r="F39" s="9"/>
      <c r="G39" s="27"/>
      <c r="H39" s="3"/>
      <c r="I39" s="1"/>
      <c r="K39" s="4"/>
    </row>
    <row r="40" spans="2:11" ht="12.75">
      <c r="B40" s="37"/>
      <c r="C40" s="9"/>
      <c r="D40" s="9"/>
      <c r="E40" s="9"/>
      <c r="F40" s="9"/>
      <c r="G40" s="27"/>
      <c r="H40" s="3"/>
      <c r="I40" s="1"/>
      <c r="K40" s="4"/>
    </row>
    <row r="41" spans="2:11" ht="12.75">
      <c r="B41" s="34" t="s">
        <v>64</v>
      </c>
      <c r="C41" s="46">
        <f>C39/D22</f>
        <v>0.013025926431800531</v>
      </c>
      <c r="D41" s="9" t="s">
        <v>14</v>
      </c>
      <c r="E41" s="73" t="s">
        <v>65</v>
      </c>
      <c r="F41" s="9"/>
      <c r="G41" s="27"/>
      <c r="H41" s="3"/>
      <c r="I41" s="1"/>
      <c r="K41" s="4"/>
    </row>
    <row r="42" spans="2:11" ht="12.75">
      <c r="B42" s="26"/>
      <c r="C42" s="16">
        <f>C41*1000/20</f>
        <v>0.6512963215900266</v>
      </c>
      <c r="D42" s="17" t="s">
        <v>49</v>
      </c>
      <c r="E42" s="9"/>
      <c r="F42" s="9"/>
      <c r="G42" s="27"/>
      <c r="H42" s="3"/>
      <c r="I42" s="1"/>
      <c r="K42" s="4"/>
    </row>
    <row r="43" spans="2:11" ht="12.75">
      <c r="B43" s="26"/>
      <c r="C43" s="16"/>
      <c r="D43" s="17"/>
      <c r="E43" s="9"/>
      <c r="F43" s="9"/>
      <c r="G43" s="27"/>
      <c r="H43" s="3"/>
      <c r="I43" s="1"/>
      <c r="K43" s="4"/>
    </row>
    <row r="44" spans="2:11" ht="12.75">
      <c r="B44" s="42" t="s">
        <v>42</v>
      </c>
      <c r="C44" s="16"/>
      <c r="D44" s="17"/>
      <c r="E44" s="9"/>
      <c r="F44" s="9"/>
      <c r="G44" s="27"/>
      <c r="H44" s="3"/>
      <c r="I44" s="1"/>
      <c r="K44" s="4"/>
    </row>
    <row r="45" spans="2:11" ht="12.75">
      <c r="B45" s="26"/>
      <c r="C45" s="16"/>
      <c r="D45" s="17"/>
      <c r="E45" s="9"/>
      <c r="F45" s="9"/>
      <c r="G45" s="27"/>
      <c r="H45" s="3"/>
      <c r="I45" s="1"/>
      <c r="K45" s="4"/>
    </row>
    <row r="46" spans="2:11" ht="12.75">
      <c r="B46" s="26" t="s">
        <v>66</v>
      </c>
      <c r="C46" s="18">
        <v>4</v>
      </c>
      <c r="D46" s="9" t="s">
        <v>2</v>
      </c>
      <c r="E46" s="75" t="s">
        <v>67</v>
      </c>
      <c r="F46" s="75"/>
      <c r="G46" s="27"/>
      <c r="H46" s="3"/>
      <c r="I46" s="1"/>
      <c r="K46" s="4"/>
    </row>
    <row r="47" spans="2:11" ht="12.75">
      <c r="B47" s="34" t="s">
        <v>43</v>
      </c>
      <c r="C47" s="16">
        <f>C46*C38</f>
        <v>0.6400000000000001</v>
      </c>
      <c r="D47" s="17" t="s">
        <v>2</v>
      </c>
      <c r="E47" s="38" t="s">
        <v>68</v>
      </c>
      <c r="F47" s="9"/>
      <c r="G47" s="27"/>
      <c r="H47" s="3" t="s">
        <v>36</v>
      </c>
      <c r="I47" s="1"/>
      <c r="K47" s="4"/>
    </row>
    <row r="48" spans="2:11" ht="12.75">
      <c r="B48" s="34" t="s">
        <v>69</v>
      </c>
      <c r="C48" s="16"/>
      <c r="D48" s="17"/>
      <c r="E48" s="38"/>
      <c r="F48" s="9"/>
      <c r="G48" s="27"/>
      <c r="H48" s="3"/>
      <c r="I48" s="1"/>
      <c r="K48" s="4"/>
    </row>
    <row r="49" spans="2:11" ht="25.5" customHeight="1">
      <c r="B49" s="119" t="s">
        <v>70</v>
      </c>
      <c r="C49" s="120"/>
      <c r="D49" s="120"/>
      <c r="E49" s="120"/>
      <c r="F49" s="120"/>
      <c r="G49" s="121"/>
      <c r="H49" s="3"/>
      <c r="I49" s="1"/>
      <c r="J49" t="s">
        <v>36</v>
      </c>
      <c r="K49" s="4"/>
    </row>
    <row r="50" spans="2:11" ht="12.75" customHeight="1">
      <c r="B50" s="81"/>
      <c r="C50" s="82"/>
      <c r="D50" s="82"/>
      <c r="E50" s="82"/>
      <c r="F50" s="82"/>
      <c r="G50" s="82"/>
      <c r="H50" s="3"/>
      <c r="I50" s="1"/>
      <c r="K50" s="4"/>
    </row>
    <row r="51" spans="2:11" ht="12.75" customHeight="1">
      <c r="B51" s="9"/>
      <c r="C51" s="9"/>
      <c r="D51" s="9"/>
      <c r="E51" s="9"/>
      <c r="F51" s="9"/>
      <c r="G51" s="9"/>
      <c r="H51" s="3"/>
      <c r="I51" s="1"/>
      <c r="K51" s="4"/>
    </row>
    <row r="52" spans="2:11" ht="12.75" customHeight="1">
      <c r="B52" s="102" t="s">
        <v>15</v>
      </c>
      <c r="C52" s="11"/>
      <c r="D52" s="11"/>
      <c r="E52" s="11"/>
      <c r="F52" s="11"/>
      <c r="G52" s="5"/>
      <c r="H52" s="3"/>
      <c r="I52" s="1"/>
      <c r="K52" s="4"/>
    </row>
    <row r="53" spans="2:11" ht="12.75" customHeight="1">
      <c r="B53" s="26"/>
      <c r="C53" s="8"/>
      <c r="D53" s="9"/>
      <c r="E53" s="9"/>
      <c r="F53" s="9"/>
      <c r="G53" s="27"/>
      <c r="H53" s="3"/>
      <c r="I53" s="1"/>
      <c r="K53" s="4"/>
    </row>
    <row r="54" spans="2:11" ht="12.75" customHeight="1">
      <c r="B54" s="26" t="s">
        <v>71</v>
      </c>
      <c r="C54" s="16">
        <f>C30-C42</f>
        <v>25.400556542011035</v>
      </c>
      <c r="D54" s="17" t="s">
        <v>2</v>
      </c>
      <c r="E54" s="73" t="s">
        <v>72</v>
      </c>
      <c r="F54" s="9"/>
      <c r="G54" s="27"/>
      <c r="H54" s="3"/>
      <c r="I54" s="1"/>
      <c r="K54" s="4"/>
    </row>
    <row r="55" spans="2:11" ht="12.75" customHeight="1">
      <c r="B55" s="26"/>
      <c r="C55" s="16"/>
      <c r="D55" s="17"/>
      <c r="E55" s="9"/>
      <c r="F55" s="9"/>
      <c r="G55" s="27"/>
      <c r="H55" s="3"/>
      <c r="I55" s="1"/>
      <c r="K55" s="4"/>
    </row>
    <row r="56" spans="2:11" ht="25.5" customHeight="1">
      <c r="B56" s="119" t="s">
        <v>73</v>
      </c>
      <c r="C56" s="120"/>
      <c r="D56" s="120"/>
      <c r="E56" s="120"/>
      <c r="F56" s="120"/>
      <c r="G56" s="121"/>
      <c r="H56" s="3"/>
      <c r="I56" s="1"/>
      <c r="K56" s="4"/>
    </row>
    <row r="57" spans="2:11" ht="12.75" customHeight="1">
      <c r="B57" s="9"/>
      <c r="C57" s="9"/>
      <c r="D57" s="9"/>
      <c r="E57" s="9"/>
      <c r="F57" s="9"/>
      <c r="G57" s="9"/>
      <c r="H57" s="3"/>
      <c r="I57" s="1"/>
      <c r="K57" s="4"/>
    </row>
    <row r="58" spans="8:11" s="9" customFormat="1" ht="12.75">
      <c r="H58" s="8"/>
      <c r="I58" s="17"/>
      <c r="K58" s="15"/>
    </row>
    <row r="59" spans="2:11" s="9" customFormat="1" ht="12.75">
      <c r="B59" s="102" t="s">
        <v>16</v>
      </c>
      <c r="C59" s="11"/>
      <c r="D59" s="11"/>
      <c r="E59" s="11"/>
      <c r="F59" s="11"/>
      <c r="G59" s="5"/>
      <c r="H59" s="8"/>
      <c r="I59" s="17"/>
      <c r="K59" s="15"/>
    </row>
    <row r="60" spans="2:11" s="9" customFormat="1" ht="12.75">
      <c r="B60" s="26"/>
      <c r="C60" s="8"/>
      <c r="G60" s="27"/>
      <c r="H60" s="8"/>
      <c r="I60" s="17"/>
      <c r="J60" s="8"/>
      <c r="K60" s="15"/>
    </row>
    <row r="61" spans="2:11" s="9" customFormat="1" ht="12.75">
      <c r="B61" s="122" t="s">
        <v>74</v>
      </c>
      <c r="C61" s="123"/>
      <c r="D61" s="123"/>
      <c r="E61" s="123"/>
      <c r="F61" s="123"/>
      <c r="G61" s="124"/>
      <c r="K61" s="15"/>
    </row>
    <row r="62" spans="2:11" s="9" customFormat="1" ht="12.75">
      <c r="B62" s="26"/>
      <c r="C62" s="16"/>
      <c r="D62" s="17"/>
      <c r="G62" s="27"/>
      <c r="H62" s="8"/>
      <c r="I62" s="17"/>
      <c r="K62" s="15"/>
    </row>
    <row r="63" spans="2:11" s="9" customFormat="1" ht="12.75">
      <c r="B63" s="26" t="s">
        <v>101</v>
      </c>
      <c r="C63" s="18">
        <v>30</v>
      </c>
      <c r="D63" s="9" t="s">
        <v>2</v>
      </c>
      <c r="E63" s="76" t="s">
        <v>75</v>
      </c>
      <c r="F63" s="75"/>
      <c r="G63" s="27"/>
      <c r="H63" s="8"/>
      <c r="I63" s="17"/>
      <c r="K63" s="15"/>
    </row>
    <row r="64" spans="2:11" s="9" customFormat="1" ht="12.75">
      <c r="B64" s="26" t="s">
        <v>102</v>
      </c>
      <c r="C64" s="19">
        <f>1-25/C63</f>
        <v>0.16666666666666663</v>
      </c>
      <c r="E64" s="51" t="s">
        <v>76</v>
      </c>
      <c r="G64" s="27"/>
      <c r="H64" s="8"/>
      <c r="I64" s="17"/>
      <c r="K64" s="15"/>
    </row>
    <row r="65" spans="2:11" s="9" customFormat="1" ht="12.75" customHeight="1">
      <c r="B65" s="26"/>
      <c r="C65" s="19"/>
      <c r="D65" s="125" t="s">
        <v>77</v>
      </c>
      <c r="E65" s="126"/>
      <c r="F65" s="126"/>
      <c r="G65" s="127"/>
      <c r="H65" s="8"/>
      <c r="I65" s="17"/>
      <c r="K65" s="15"/>
    </row>
    <row r="66" spans="2:11" s="9" customFormat="1" ht="12.75">
      <c r="B66" s="74" t="s">
        <v>103</v>
      </c>
      <c r="C66" s="57"/>
      <c r="D66" s="57"/>
      <c r="E66" s="57"/>
      <c r="F66" s="12"/>
      <c r="G66" s="7"/>
      <c r="H66" s="8"/>
      <c r="I66" s="17"/>
      <c r="K66" s="15"/>
    </row>
    <row r="67" spans="8:11" s="9" customFormat="1" ht="12.75">
      <c r="H67" s="8"/>
      <c r="I67" s="17"/>
      <c r="K67" s="15"/>
    </row>
    <row r="68" spans="8:11" s="9" customFormat="1" ht="12.75">
      <c r="H68" s="8"/>
      <c r="I68" s="17"/>
      <c r="K68" s="15"/>
    </row>
    <row r="69" spans="2:11" s="9" customFormat="1" ht="12.75">
      <c r="B69" s="102" t="s">
        <v>24</v>
      </c>
      <c r="C69" s="40"/>
      <c r="D69" s="11"/>
      <c r="E69" s="11"/>
      <c r="F69" s="11"/>
      <c r="G69" s="5"/>
      <c r="H69" s="8"/>
      <c r="I69" s="17"/>
      <c r="K69" s="15"/>
    </row>
    <row r="70" spans="2:11" s="9" customFormat="1" ht="12.75">
      <c r="B70" s="26"/>
      <c r="C70" s="19"/>
      <c r="G70" s="27"/>
      <c r="H70" s="8"/>
      <c r="I70" s="17"/>
      <c r="K70" s="15"/>
    </row>
    <row r="71" spans="2:11" s="9" customFormat="1" ht="12.75">
      <c r="B71" s="26" t="s">
        <v>17</v>
      </c>
      <c r="C71" s="103">
        <f>LN(2)/F19</f>
        <v>99.02102579427789</v>
      </c>
      <c r="D71" s="17" t="s">
        <v>18</v>
      </c>
      <c r="E71" s="73" t="s">
        <v>78</v>
      </c>
      <c r="G71" s="27"/>
      <c r="H71" s="8"/>
      <c r="I71" s="17"/>
      <c r="K71" s="15"/>
    </row>
    <row r="72" spans="2:11" s="9" customFormat="1" ht="12.75">
      <c r="B72" s="26"/>
      <c r="C72" s="21">
        <f>C71/60</f>
        <v>1.6503504299046314</v>
      </c>
      <c r="D72" s="9" t="s">
        <v>3</v>
      </c>
      <c r="G72" s="27"/>
      <c r="H72" s="8"/>
      <c r="I72" s="17"/>
      <c r="K72" s="15"/>
    </row>
    <row r="73" spans="2:11" s="9" customFormat="1" ht="12.75">
      <c r="B73" s="26"/>
      <c r="C73" s="19"/>
      <c r="G73" s="27"/>
      <c r="H73" s="8"/>
      <c r="I73" s="17"/>
      <c r="K73" s="15"/>
    </row>
    <row r="74" spans="2:11" s="9" customFormat="1" ht="12.75">
      <c r="B74" s="26" t="s">
        <v>19</v>
      </c>
      <c r="C74" s="20">
        <f>C71*C30/LN(2)/1000</f>
        <v>3.7216932662287228</v>
      </c>
      <c r="D74" s="17" t="s">
        <v>20</v>
      </c>
      <c r="E74" s="73" t="s">
        <v>50</v>
      </c>
      <c r="G74" s="27"/>
      <c r="H74" s="8"/>
      <c r="I74" s="17"/>
      <c r="K74" s="15"/>
    </row>
    <row r="75" spans="2:8" s="9" customFormat="1" ht="12.75">
      <c r="B75" s="26"/>
      <c r="C75" s="20"/>
      <c r="G75" s="27"/>
      <c r="H75" s="8"/>
    </row>
    <row r="76" spans="2:8" s="9" customFormat="1" ht="12.75">
      <c r="B76" s="26" t="s">
        <v>79</v>
      </c>
      <c r="C76" s="21">
        <v>0.45</v>
      </c>
      <c r="D76" s="9" t="s">
        <v>21</v>
      </c>
      <c r="G76" s="27"/>
      <c r="H76" s="8"/>
    </row>
    <row r="77" spans="2:8" s="9" customFormat="1" ht="12.75">
      <c r="B77" s="37" t="s">
        <v>80</v>
      </c>
      <c r="C77" s="109">
        <f>C76*C74*1000</f>
        <v>1674.7619698029253</v>
      </c>
      <c r="D77" s="22" t="s">
        <v>46</v>
      </c>
      <c r="E77" s="73" t="s">
        <v>44</v>
      </c>
      <c r="G77" s="27"/>
      <c r="H77" s="8"/>
    </row>
    <row r="78" spans="2:9" s="9" customFormat="1" ht="12.75">
      <c r="B78" s="37"/>
      <c r="C78" s="16"/>
      <c r="D78" s="22"/>
      <c r="G78" s="27"/>
      <c r="H78" s="8"/>
      <c r="I78" s="9" t="s">
        <v>35</v>
      </c>
    </row>
    <row r="79" spans="2:9" s="9" customFormat="1" ht="12.75">
      <c r="B79" s="104" t="s">
        <v>81</v>
      </c>
      <c r="C79" s="105">
        <v>70</v>
      </c>
      <c r="D79" s="106" t="s">
        <v>22</v>
      </c>
      <c r="E79" s="107" t="s">
        <v>82</v>
      </c>
      <c r="F79" s="107"/>
      <c r="G79" s="108"/>
      <c r="H79" s="8"/>
      <c r="I79" s="9" t="s">
        <v>35</v>
      </c>
    </row>
    <row r="80" spans="2:8" s="9" customFormat="1" ht="12.75">
      <c r="B80" s="104" t="s">
        <v>34</v>
      </c>
      <c r="C80" s="105">
        <v>40</v>
      </c>
      <c r="D80" s="106" t="s">
        <v>22</v>
      </c>
      <c r="E80" s="107" t="s">
        <v>83</v>
      </c>
      <c r="F80" s="107"/>
      <c r="G80" s="108"/>
      <c r="H80" s="8"/>
    </row>
    <row r="81" spans="2:8" s="9" customFormat="1" ht="12.75">
      <c r="B81" s="37"/>
      <c r="C81" s="18"/>
      <c r="D81" s="23"/>
      <c r="G81" s="27"/>
      <c r="H81" s="8"/>
    </row>
    <row r="82" spans="2:8" s="9" customFormat="1" ht="12.75">
      <c r="B82" s="78" t="s">
        <v>45</v>
      </c>
      <c r="C82" s="109">
        <f>C76*C80</f>
        <v>18</v>
      </c>
      <c r="D82" s="22" t="s">
        <v>46</v>
      </c>
      <c r="E82" s="73" t="s">
        <v>104</v>
      </c>
      <c r="G82" s="27"/>
      <c r="H82" s="8"/>
    </row>
    <row r="83" spans="2:8" s="9" customFormat="1" ht="12.75">
      <c r="B83" s="37" t="s">
        <v>23</v>
      </c>
      <c r="C83" s="25">
        <f>C82/C77</f>
        <v>0.010747795999999999</v>
      </c>
      <c r="D83" s="22"/>
      <c r="E83" s="73" t="s">
        <v>47</v>
      </c>
      <c r="G83" s="27"/>
      <c r="H83" s="8"/>
    </row>
    <row r="84" spans="2:8" s="9" customFormat="1" ht="12.75">
      <c r="B84" s="37"/>
      <c r="C84" s="16"/>
      <c r="D84" s="22"/>
      <c r="G84" s="27"/>
      <c r="H84" s="8"/>
    </row>
    <row r="85" spans="2:8" s="9" customFormat="1" ht="12.75">
      <c r="B85" s="74" t="s">
        <v>84</v>
      </c>
      <c r="C85" s="83"/>
      <c r="D85" s="84"/>
      <c r="E85" s="85"/>
      <c r="F85" s="57"/>
      <c r="G85" s="7"/>
      <c r="H85" s="8"/>
    </row>
    <row r="86" s="9" customFormat="1" ht="12.75">
      <c r="H86" s="8"/>
    </row>
    <row r="87" s="9" customFormat="1" ht="12.75">
      <c r="H87" s="8"/>
    </row>
    <row r="88" spans="2:8" s="9" customFormat="1" ht="12.75">
      <c r="B88" s="102" t="s">
        <v>29</v>
      </c>
      <c r="C88" s="52"/>
      <c r="D88" s="11"/>
      <c r="E88" s="11"/>
      <c r="F88" s="11"/>
      <c r="G88" s="5"/>
      <c r="H88" s="8"/>
    </row>
    <row r="89" spans="2:8" s="9" customFormat="1" ht="12.75">
      <c r="B89" s="41"/>
      <c r="C89" s="47"/>
      <c r="G89" s="27"/>
      <c r="H89" s="8"/>
    </row>
    <row r="90" spans="2:8" s="9" customFormat="1" ht="12.75">
      <c r="B90" s="41" t="s">
        <v>86</v>
      </c>
      <c r="C90" s="86">
        <v>1</v>
      </c>
      <c r="D90" s="50" t="s">
        <v>21</v>
      </c>
      <c r="G90" s="27"/>
      <c r="H90" s="8"/>
    </row>
    <row r="91" spans="2:8" s="9" customFormat="1" ht="12.75">
      <c r="B91" s="42" t="s">
        <v>85</v>
      </c>
      <c r="C91" s="47"/>
      <c r="G91" s="27"/>
      <c r="H91" s="8"/>
    </row>
    <row r="92" spans="2:8" s="9" customFormat="1" ht="12.75">
      <c r="B92" s="42" t="s">
        <v>96</v>
      </c>
      <c r="C92" s="47"/>
      <c r="G92" s="27"/>
      <c r="H92" s="8"/>
    </row>
    <row r="93" spans="2:8" s="9" customFormat="1" ht="12.75">
      <c r="B93" s="42" t="s">
        <v>87</v>
      </c>
      <c r="C93" s="49">
        <f>C90*C30</f>
        <v>26.051852863601063</v>
      </c>
      <c r="D93" s="9" t="s">
        <v>25</v>
      </c>
      <c r="G93" s="27"/>
      <c r="H93" s="8"/>
    </row>
    <row r="94" spans="2:8" s="9" customFormat="1" ht="12.75">
      <c r="B94" s="41"/>
      <c r="C94" s="80">
        <f>C93*1440/1000</f>
        <v>37.51466812358553</v>
      </c>
      <c r="D94" s="9" t="s">
        <v>26</v>
      </c>
      <c r="E94" s="51" t="s">
        <v>88</v>
      </c>
      <c r="G94" s="27"/>
      <c r="H94" s="8"/>
    </row>
    <row r="95" spans="2:8" s="9" customFormat="1" ht="12.75">
      <c r="B95" s="41"/>
      <c r="C95" s="20">
        <f>C94/2</f>
        <v>18.757334061792765</v>
      </c>
      <c r="D95" s="17" t="s">
        <v>27</v>
      </c>
      <c r="E95" s="51" t="s">
        <v>89</v>
      </c>
      <c r="G95" s="27"/>
      <c r="H95" s="8"/>
    </row>
    <row r="96" spans="2:8" s="9" customFormat="1" ht="12.75">
      <c r="B96" s="41"/>
      <c r="C96" s="47"/>
      <c r="G96" s="27"/>
      <c r="H96" s="8"/>
    </row>
    <row r="97" spans="2:8" s="9" customFormat="1" ht="12.75">
      <c r="B97" s="41" t="s">
        <v>97</v>
      </c>
      <c r="C97" s="86">
        <v>1</v>
      </c>
      <c r="D97" s="50" t="s">
        <v>21</v>
      </c>
      <c r="G97" s="27"/>
      <c r="H97" s="8"/>
    </row>
    <row r="98" spans="2:8" s="9" customFormat="1" ht="12.75">
      <c r="B98" s="42" t="s">
        <v>106</v>
      </c>
      <c r="C98" s="49">
        <f>2^(720/C71)</f>
        <v>154.470015025891</v>
      </c>
      <c r="D98" s="9" t="s">
        <v>21</v>
      </c>
      <c r="E98" s="87" t="s">
        <v>56</v>
      </c>
      <c r="G98" s="27"/>
      <c r="H98" s="8" t="s">
        <v>37</v>
      </c>
    </row>
    <row r="99" spans="2:8" s="9" customFormat="1" ht="12.75">
      <c r="B99" s="42" t="s">
        <v>105</v>
      </c>
      <c r="C99" s="53">
        <f>(C98+C97)/2</f>
        <v>77.7350075129455</v>
      </c>
      <c r="D99" s="54" t="s">
        <v>21</v>
      </c>
      <c r="E99" s="54"/>
      <c r="F99" s="54"/>
      <c r="G99" s="27"/>
      <c r="H99" s="8"/>
    </row>
    <row r="100" spans="2:9" s="9" customFormat="1" ht="12.75">
      <c r="B100" s="42" t="s">
        <v>28</v>
      </c>
      <c r="C100" s="89">
        <f>C95*C99</f>
        <v>1458.1015042162892</v>
      </c>
      <c r="D100" s="88" t="s">
        <v>27</v>
      </c>
      <c r="G100" s="27"/>
      <c r="H100" s="8"/>
      <c r="I100" s="44"/>
    </row>
    <row r="101" spans="2:9" s="9" customFormat="1" ht="12.75">
      <c r="B101" s="34"/>
      <c r="G101" s="27"/>
      <c r="H101" s="8"/>
      <c r="I101" s="24"/>
    </row>
    <row r="102" spans="2:7" ht="12.75">
      <c r="B102" s="39" t="s">
        <v>98</v>
      </c>
      <c r="C102" s="90"/>
      <c r="D102" s="91"/>
      <c r="E102" s="91"/>
      <c r="F102" s="12"/>
      <c r="G102" s="7"/>
    </row>
    <row r="105" spans="2:7" ht="12.75">
      <c r="B105" s="102" t="s">
        <v>33</v>
      </c>
      <c r="C105" s="52"/>
      <c r="D105" s="43"/>
      <c r="E105" s="43"/>
      <c r="F105" s="11"/>
      <c r="G105" s="5"/>
    </row>
    <row r="106" spans="2:7" ht="12.75">
      <c r="B106" s="26"/>
      <c r="C106" s="47"/>
      <c r="D106" s="10"/>
      <c r="E106" s="10"/>
      <c r="F106" s="9"/>
      <c r="G106" s="27"/>
    </row>
    <row r="107" spans="2:7" ht="12.75">
      <c r="B107" s="26" t="s">
        <v>30</v>
      </c>
      <c r="C107" s="9">
        <v>30</v>
      </c>
      <c r="D107" s="9" t="s">
        <v>1</v>
      </c>
      <c r="E107" s="9"/>
      <c r="F107" s="9"/>
      <c r="G107" s="27"/>
    </row>
    <row r="108" spans="2:7" ht="12.75">
      <c r="B108" s="26" t="s">
        <v>90</v>
      </c>
      <c r="C108" s="9">
        <v>900</v>
      </c>
      <c r="D108" s="51" t="s">
        <v>8</v>
      </c>
      <c r="E108" s="9"/>
      <c r="F108" s="9"/>
      <c r="G108" s="27"/>
    </row>
    <row r="109" spans="2:7" ht="12.75">
      <c r="B109" s="26"/>
      <c r="C109" s="9"/>
      <c r="D109" s="9"/>
      <c r="E109" s="9"/>
      <c r="F109" s="9"/>
      <c r="G109" s="27"/>
    </row>
    <row r="110" spans="2:7" s="9" customFormat="1" ht="12.75">
      <c r="B110" s="34" t="s">
        <v>91</v>
      </c>
      <c r="C110" s="25">
        <f>(C108/D22)*(C27/C107)</f>
        <v>0.7815555859080319</v>
      </c>
      <c r="E110" s="73" t="s">
        <v>52</v>
      </c>
      <c r="G110" s="27"/>
    </row>
    <row r="111" spans="2:7" s="9" customFormat="1" ht="12.75">
      <c r="B111" s="26"/>
      <c r="G111" s="27"/>
    </row>
    <row r="112" spans="2:7" s="9" customFormat="1" ht="12.75">
      <c r="B112" s="39" t="s">
        <v>92</v>
      </c>
      <c r="C112" s="35">
        <f>C95/C110</f>
        <v>24</v>
      </c>
      <c r="D112" s="35" t="s">
        <v>27</v>
      </c>
      <c r="E112" s="79" t="s">
        <v>53</v>
      </c>
      <c r="F112" s="12"/>
      <c r="G112" s="7"/>
    </row>
    <row r="113" s="9" customFormat="1" ht="12.75"/>
    <row r="114" s="9" customFormat="1" ht="12.75"/>
    <row r="115" spans="2:7" s="9" customFormat="1" ht="12.75">
      <c r="B115" s="102" t="s">
        <v>51</v>
      </c>
      <c r="C115" s="45"/>
      <c r="D115" s="11"/>
      <c r="E115" s="11"/>
      <c r="F115" s="11"/>
      <c r="G115" s="5"/>
    </row>
    <row r="116" spans="2:7" s="9" customFormat="1" ht="12.75">
      <c r="B116" s="37"/>
      <c r="C116" s="14"/>
      <c r="G116" s="27"/>
    </row>
    <row r="117" spans="2:7" s="9" customFormat="1" ht="12.75">
      <c r="B117" s="26" t="s">
        <v>93</v>
      </c>
      <c r="C117" s="9">
        <v>6</v>
      </c>
      <c r="D117" s="9" t="s">
        <v>3</v>
      </c>
      <c r="G117" s="27"/>
    </row>
    <row r="118" spans="2:7" s="9" customFormat="1" ht="12.75">
      <c r="B118" s="26" t="s">
        <v>94</v>
      </c>
      <c r="G118" s="27"/>
    </row>
    <row r="119" spans="2:7" s="9" customFormat="1" ht="12.75">
      <c r="B119" s="26"/>
      <c r="C119" s="48"/>
      <c r="G119" s="27"/>
    </row>
    <row r="120" spans="2:7" s="9" customFormat="1" ht="12.75">
      <c r="B120" s="92" t="s">
        <v>54</v>
      </c>
      <c r="C120" s="93" t="s">
        <v>95</v>
      </c>
      <c r="D120" s="57"/>
      <c r="E120" s="94"/>
      <c r="F120" s="57"/>
      <c r="G120" s="7"/>
    </row>
    <row r="121" ht="12.75">
      <c r="B121" s="128" t="s">
        <v>107</v>
      </c>
    </row>
    <row r="122" ht="12.75">
      <c r="B122" s="128" t="s">
        <v>108</v>
      </c>
    </row>
  </sheetData>
  <sheetProtection/>
  <mergeCells count="5">
    <mergeCell ref="D2:E2"/>
    <mergeCell ref="B49:G49"/>
    <mergeCell ref="B56:G56"/>
    <mergeCell ref="B61:G61"/>
    <mergeCell ref="D65:G65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headerFooter alignWithMargins="0">
    <oddHeader>&amp;C&amp;F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28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BOUSQUET-MELOU</dc:creator>
  <cp:keywords/>
  <dc:description/>
  <cp:lastModifiedBy>Alain BOUSQUET-MELOU</cp:lastModifiedBy>
  <cp:lastPrinted>2012-03-30T15:01:37Z</cp:lastPrinted>
  <dcterms:created xsi:type="dcterms:W3CDTF">2005-09-07T06:52:51Z</dcterms:created>
  <dcterms:modified xsi:type="dcterms:W3CDTF">2021-08-25T17:19:55Z</dcterms:modified>
  <cp:category/>
  <cp:version/>
  <cp:contentType/>
  <cp:contentStatus/>
</cp:coreProperties>
</file>