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220" windowHeight="528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<sst xmlns="http://schemas.openxmlformats.org/spreadsheetml/2006/main" count="176" uniqueCount="129">
  <si>
    <t>Dose</t>
  </si>
  <si>
    <t>mg/kg</t>
  </si>
  <si>
    <t>Clairance</t>
  </si>
  <si>
    <t>ml/min/kg</t>
  </si>
  <si>
    <t>h</t>
  </si>
  <si>
    <t>T (min)</t>
  </si>
  <si>
    <t>AUC[1-720]</t>
  </si>
  <si>
    <t>AUC[720-inf]</t>
  </si>
  <si>
    <t>C(µg/mL)</t>
  </si>
  <si>
    <t>µg.min/mL</t>
  </si>
  <si>
    <t>L/min/kg</t>
  </si>
  <si>
    <t>Débit cardiaque</t>
  </si>
  <si>
    <t>Question 4</t>
  </si>
  <si>
    <t>fu</t>
  </si>
  <si>
    <t>Cl rénale</t>
  </si>
  <si>
    <t>X urine</t>
  </si>
  <si>
    <t>mg</t>
  </si>
  <si>
    <t>DFG</t>
  </si>
  <si>
    <t>Question 5</t>
  </si>
  <si>
    <t>Cl hepatique</t>
  </si>
  <si>
    <t>Débit hepatique</t>
  </si>
  <si>
    <t>F orale,max</t>
  </si>
  <si>
    <t>Question 6</t>
  </si>
  <si>
    <t>T 1/2</t>
  </si>
  <si>
    <t>min</t>
  </si>
  <si>
    <t>Vd</t>
  </si>
  <si>
    <t>L/kg</t>
  </si>
  <si>
    <t>concentration</t>
  </si>
  <si>
    <t>µg/mL</t>
  </si>
  <si>
    <t>Q organisme</t>
  </si>
  <si>
    <t>mL/kg</t>
  </si>
  <si>
    <t>7% du poids vif</t>
  </si>
  <si>
    <t>% dans plasma</t>
  </si>
  <si>
    <t>V sanguin</t>
  </si>
  <si>
    <t>Question 7</t>
  </si>
  <si>
    <t>Vitesse entrée = Vitesse élimination</t>
  </si>
  <si>
    <t xml:space="preserve">Vitesse entrée = </t>
  </si>
  <si>
    <t>µg/min/kg</t>
  </si>
  <si>
    <t>mg/kg/24h</t>
  </si>
  <si>
    <t>mg/kg/12h</t>
  </si>
  <si>
    <t>C moyenne</t>
  </si>
  <si>
    <t>C minimale</t>
  </si>
  <si>
    <t>C max/C min</t>
  </si>
  <si>
    <t>Cmoyenne</t>
  </si>
  <si>
    <t>Posologie</t>
  </si>
  <si>
    <t>avec moyenne arithmétique</t>
  </si>
  <si>
    <t>Question 8</t>
  </si>
  <si>
    <t>Dose SC</t>
  </si>
  <si>
    <t>AUCsous-cutanée</t>
  </si>
  <si>
    <t>Fsous-cutanée</t>
  </si>
  <si>
    <t>T1/2 sous-cutanée</t>
  </si>
  <si>
    <t>Question 2</t>
  </si>
  <si>
    <t>Question 3</t>
  </si>
  <si>
    <t>Question 9</t>
  </si>
  <si>
    <t>T1/2 sous-cutanée &gt; T1/2 intraveineuse</t>
  </si>
  <si>
    <t>lineaire</t>
  </si>
  <si>
    <t>log-lineaire</t>
  </si>
  <si>
    <t>V plasma</t>
  </si>
  <si>
    <t>5% du poids vif</t>
  </si>
  <si>
    <t xml:space="preserve"> </t>
  </si>
  <si>
    <t xml:space="preserve">  </t>
  </si>
  <si>
    <t xml:space="preserve">     </t>
  </si>
  <si>
    <t>AUC[1-inf]</t>
  </si>
  <si>
    <t>Clairance max</t>
  </si>
  <si>
    <t>Trapèzes</t>
  </si>
  <si>
    <t>Mécanismes de l'excrétion rénale : filtration, sécrétion, réabsorption</t>
  </si>
  <si>
    <t>Cl filration</t>
  </si>
  <si>
    <t>=Vd*Cplasma'</t>
  </si>
  <si>
    <t>Q plasma</t>
  </si>
  <si>
    <t>µg/kg</t>
  </si>
  <si>
    <t>= V plasma / V distribution</t>
  </si>
  <si>
    <t>avec Cmoy=AUC/tau</t>
  </si>
  <si>
    <t>Log nep (C)</t>
  </si>
  <si>
    <t>=Clast/pente</t>
  </si>
  <si>
    <t>=Dose / AUC totale</t>
  </si>
  <si>
    <t>mL/min/kg</t>
  </si>
  <si>
    <t>= 50% du débit cardiaque</t>
  </si>
  <si>
    <t>= 30% du débit cardiaque</t>
  </si>
  <si>
    <t>= Cl totale - Cl rénale</t>
  </si>
  <si>
    <t>Adaptation de la dose lors d'insuffisance hépatique : le foie est  le principal contributeur à l'élimination</t>
  </si>
  <si>
    <t>Etapes à franchir : absorption, métabolisme (1er passage) intestinal, métabolisme (1er passage) hépatique</t>
  </si>
  <si>
    <t>F orale,max = Fh = 1-Eh=1-Clh/Qh</t>
  </si>
  <si>
    <t>=ln(2)/pente</t>
  </si>
  <si>
    <t>=T1/2*Cl/Ln(2)</t>
  </si>
  <si>
    <t>=Vd*Cplasma</t>
  </si>
  <si>
    <t>Pas de dialyse : la quantité présente dans le plasma est trop faible</t>
  </si>
  <si>
    <t>Vitesse entrée = clairance*concentration moyenne</t>
  </si>
  <si>
    <t>=(AUCsc/AUCiv)*(Div/Dsc)</t>
  </si>
  <si>
    <t>=Div / Fsc</t>
  </si>
  <si>
    <t>Formulation SC</t>
  </si>
  <si>
    <t>70-80</t>
  </si>
  <si>
    <t>35-40</t>
  </si>
  <si>
    <t>= X urine / AUC totale</t>
  </si>
  <si>
    <t>= fu * DFG</t>
  </si>
  <si>
    <t>Cl [secrétion-réabs]</t>
  </si>
  <si>
    <t>de la Cl rénale</t>
  </si>
  <si>
    <t>de la Cl totale</t>
  </si>
  <si>
    <t>mL/min</t>
  </si>
  <si>
    <t>Seuil clairance faible</t>
  </si>
  <si>
    <t xml:space="preserve">% </t>
  </si>
  <si>
    <t>Seuil clairance forte</t>
  </si>
  <si>
    <t>du débit cardiaque (avec Er&lt;0.3 et Eh&lt;0.3)</t>
  </si>
  <si>
    <t>Clairance mesurée</t>
  </si>
  <si>
    <t>%</t>
  </si>
  <si>
    <t xml:space="preserve">du débit cardiaque </t>
  </si>
  <si>
    <t>27-30</t>
  </si>
  <si>
    <t>La clairance mesurée est plutôt forte (peu de médicaments ont des Eglobal &gt;35%)</t>
  </si>
  <si>
    <t>du débit cardiaque (avec Er&gt;0.7 et Eh&gt;0.7)</t>
  </si>
  <si>
    <t>Pas d'adaptation de la dose lors d'insuffisance rénale : trop faible contribution des reins à l'élimination (0.65 sur 22) soit 3% de la clairance totale</t>
  </si>
  <si>
    <t xml:space="preserve">Accumulation faible </t>
  </si>
  <si>
    <t>Ia</t>
  </si>
  <si>
    <t>pour tau =</t>
  </si>
  <si>
    <t>Amplitude</t>
  </si>
  <si>
    <t xml:space="preserve">Amplitude forte </t>
  </si>
  <si>
    <t>Temps équilibre</t>
  </si>
  <si>
    <t xml:space="preserve">Equilibre atteint dès le 1er jour </t>
  </si>
  <si>
    <t>4 fois le t1/2</t>
  </si>
  <si>
    <t>moyenne</t>
  </si>
  <si>
    <t xml:space="preserve">la vraie concentration </t>
  </si>
  <si>
    <t>Adaptation de posologie si insuffisance rénale?</t>
  </si>
  <si>
    <t>Même si la biodispo est égale à 12%, elle est trop faible pour utiliser le médicament par voie orale, car la biodispo orale sera TRES VARIABLE entre les individus</t>
  </si>
  <si>
    <t>mg/L</t>
  </si>
  <si>
    <t>=2^(tau/t1/2)</t>
  </si>
  <si>
    <t>= "Formulation longue-action", Long-acting formulation"</t>
  </si>
  <si>
    <t>= "Formulation retard", "Formulation à libération prolongée", "Slow-release formulation"</t>
  </si>
  <si>
    <t>La sécrétion (moins la ré-absorption) représente 60% de la clairance rénale</t>
  </si>
  <si>
    <t>ml/min</t>
  </si>
  <si>
    <t>DFG normal range = [90-120] mL/min</t>
  </si>
  <si>
    <t>avec Cmax x Vd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</si>
</sst>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  <numFmt numFmtId="170" formatCode="0.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"/>
    <numFmt numFmtId="185" formatCode="0.00000000000"/>
    <numFmt numFmtId="186" formatCode="0.000000000000"/>
    <numFmt numFmtId="187" formatCode="0.000000000"/>
    <numFmt numFmtId="188" formatCode="0.00000000"/>
    <numFmt numFmtId="189" formatCode="#,##0.0"/>
  </numFmts>
  <fonts count="6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99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9" fontId="1" fillId="0" borderId="0" xfId="50" applyFont="1" applyBorder="1" applyAlignment="1">
      <alignment/>
    </xf>
    <xf numFmtId="2" fontId="1" fillId="0" borderId="0" xfId="50" applyNumberFormat="1" applyFont="1" applyBorder="1" applyAlignment="1">
      <alignment/>
    </xf>
    <xf numFmtId="2" fontId="5" fillId="0" borderId="0" xfId="5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0" fillId="0" borderId="0" xfId="50" applyNumberFormat="1" applyFont="1" applyBorder="1" applyAlignment="1">
      <alignment/>
    </xf>
    <xf numFmtId="170" fontId="1" fillId="0" borderId="0" xfId="5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ill="1" applyBorder="1" applyAlignment="1">
      <alignment/>
    </xf>
    <xf numFmtId="1" fontId="0" fillId="0" borderId="0" xfId="5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50" applyNumberFormat="1" applyBorder="1" applyAlignment="1">
      <alignment/>
    </xf>
    <xf numFmtId="1" fontId="0" fillId="0" borderId="0" xfId="50" applyNumberFormat="1" applyBorder="1" applyAlignment="1">
      <alignment/>
    </xf>
    <xf numFmtId="0" fontId="3" fillId="0" borderId="0" xfId="0" applyFont="1" applyBorder="1" applyAlignment="1">
      <alignment/>
    </xf>
    <xf numFmtId="10" fontId="1" fillId="0" borderId="0" xfId="5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2" xfId="5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5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 quotePrefix="1">
      <alignment/>
    </xf>
    <xf numFmtId="1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 quotePrefix="1">
      <alignment/>
    </xf>
    <xf numFmtId="1" fontId="54" fillId="0" borderId="0" xfId="0" applyNumberFormat="1" applyFont="1" applyBorder="1" applyAlignment="1">
      <alignment horizontal="right"/>
    </xf>
    <xf numFmtId="0" fontId="0" fillId="0" borderId="13" xfId="0" applyFont="1" applyBorder="1" applyAlignment="1" quotePrefix="1">
      <alignment/>
    </xf>
    <xf numFmtId="164" fontId="0" fillId="0" borderId="0" xfId="5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" fontId="3" fillId="0" borderId="0" xfId="50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3" fontId="0" fillId="0" borderId="0" xfId="50" applyNumberFormat="1" applyBorder="1" applyAlignment="1">
      <alignment/>
    </xf>
    <xf numFmtId="0" fontId="55" fillId="0" borderId="14" xfId="0" applyFont="1" applyBorder="1" applyAlignment="1">
      <alignment/>
    </xf>
    <xf numFmtId="1" fontId="55" fillId="0" borderId="0" xfId="0" applyNumberFormat="1" applyFont="1" applyBorder="1" applyAlignment="1">
      <alignment/>
    </xf>
    <xf numFmtId="0" fontId="55" fillId="0" borderId="16" xfId="0" applyFont="1" applyBorder="1" applyAlignment="1">
      <alignment/>
    </xf>
    <xf numFmtId="1" fontId="2" fillId="0" borderId="13" xfId="5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51" fillId="0" borderId="16" xfId="0" applyFont="1" applyBorder="1" applyAlignment="1">
      <alignment/>
    </xf>
    <xf numFmtId="1" fontId="51" fillId="0" borderId="13" xfId="50" applyNumberFormat="1" applyFont="1" applyBorder="1" applyAlignment="1" quotePrefix="1">
      <alignment/>
    </xf>
    <xf numFmtId="0" fontId="51" fillId="0" borderId="13" xfId="0" applyFont="1" applyFill="1" applyBorder="1" applyAlignment="1" quotePrefix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3" fillId="33" borderId="23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9" fontId="1" fillId="0" borderId="0" xfId="50" applyNumberFormat="1" applyFont="1" applyBorder="1" applyAlignment="1">
      <alignment/>
    </xf>
    <xf numFmtId="1" fontId="56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1" fillId="0" borderId="0" xfId="50" applyNumberFormat="1" applyFont="1" applyBorder="1" applyAlignment="1">
      <alignment/>
    </xf>
    <xf numFmtId="166" fontId="56" fillId="0" borderId="0" xfId="50" applyNumberFormat="1" applyFont="1" applyBorder="1" applyAlignment="1">
      <alignment/>
    </xf>
    <xf numFmtId="0" fontId="54" fillId="0" borderId="0" xfId="0" applyFont="1" applyBorder="1" applyAlignment="1">
      <alignment horizontal="right"/>
    </xf>
    <xf numFmtId="3" fontId="56" fillId="0" borderId="0" xfId="50" applyNumberFormat="1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1" xfId="0" applyFont="1" applyBorder="1" applyAlignment="1">
      <alignment/>
    </xf>
    <xf numFmtId="166" fontId="56" fillId="0" borderId="12" xfId="50" applyNumberFormat="1" applyFont="1" applyBorder="1" applyAlignment="1">
      <alignment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/>
    </xf>
    <xf numFmtId="9" fontId="1" fillId="0" borderId="13" xfId="50" applyFont="1" applyBorder="1" applyAlignment="1">
      <alignment/>
    </xf>
    <xf numFmtId="3" fontId="56" fillId="0" borderId="12" xfId="50" applyNumberFormat="1" applyFont="1" applyBorder="1" applyAlignment="1">
      <alignment/>
    </xf>
    <xf numFmtId="1" fontId="1" fillId="0" borderId="12" xfId="50" applyNumberFormat="1" applyFont="1" applyBorder="1" applyAlignment="1">
      <alignment/>
    </xf>
    <xf numFmtId="0" fontId="1" fillId="0" borderId="12" xfId="0" applyFont="1" applyBorder="1" applyAlignment="1">
      <alignment/>
    </xf>
    <xf numFmtId="0" fontId="54" fillId="0" borderId="12" xfId="0" applyFont="1" applyBorder="1" applyAlignment="1">
      <alignment horizontal="left"/>
    </xf>
    <xf numFmtId="0" fontId="3" fillId="33" borderId="17" xfId="0" applyFont="1" applyFill="1" applyBorder="1" applyAlignment="1">
      <alignment/>
    </xf>
    <xf numFmtId="0" fontId="0" fillId="0" borderId="24" xfId="0" applyBorder="1" applyAlignment="1">
      <alignment/>
    </xf>
    <xf numFmtId="0" fontId="53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0" fontId="51" fillId="0" borderId="22" xfId="5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4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4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51" fillId="0" borderId="21" xfId="0" applyFont="1" applyBorder="1" applyAlignment="1">
      <alignment/>
    </xf>
    <xf numFmtId="1" fontId="51" fillId="0" borderId="25" xfId="0" applyNumberFormat="1" applyFont="1" applyBorder="1" applyAlignment="1">
      <alignment horizontal="right"/>
    </xf>
    <xf numFmtId="0" fontId="5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19" xfId="0" applyFill="1" applyBorder="1" applyAlignment="1">
      <alignment/>
    </xf>
    <xf numFmtId="9" fontId="1" fillId="0" borderId="24" xfId="5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Fill="1" applyBorder="1" applyAlignment="1">
      <alignment/>
    </xf>
    <xf numFmtId="0" fontId="51" fillId="0" borderId="28" xfId="0" applyFont="1" applyBorder="1" applyAlignment="1">
      <alignment/>
    </xf>
    <xf numFmtId="0" fontId="0" fillId="0" borderId="29" xfId="0" applyBorder="1" applyAlignment="1">
      <alignment/>
    </xf>
    <xf numFmtId="0" fontId="51" fillId="0" borderId="19" xfId="0" applyFont="1" applyBorder="1" applyAlignment="1">
      <alignment/>
    </xf>
    <xf numFmtId="0" fontId="56" fillId="0" borderId="26" xfId="0" applyFont="1" applyBorder="1" applyAlignment="1">
      <alignment/>
    </xf>
    <xf numFmtId="0" fontId="54" fillId="0" borderId="19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10" fontId="51" fillId="0" borderId="25" xfId="50" applyNumberFormat="1" applyFont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5" xfId="0" applyFont="1" applyBorder="1" applyAlignment="1" quotePrefix="1">
      <alignment/>
    </xf>
    <xf numFmtId="164" fontId="1" fillId="0" borderId="0" xfId="50" applyNumberFormat="1" applyFont="1" applyBorder="1" applyAlignment="1">
      <alignment/>
    </xf>
    <xf numFmtId="1" fontId="51" fillId="0" borderId="0" xfId="50" applyNumberFormat="1" applyFont="1" applyBorder="1" applyAlignment="1" quotePrefix="1">
      <alignment/>
    </xf>
    <xf numFmtId="0" fontId="51" fillId="0" borderId="0" xfId="0" applyFont="1" applyFill="1" applyBorder="1" applyAlignment="1" quotePrefix="1">
      <alignment/>
    </xf>
    <xf numFmtId="0" fontId="0" fillId="0" borderId="20" xfId="0" applyFont="1" applyBorder="1" applyAlignment="1">
      <alignment/>
    </xf>
    <xf numFmtId="164" fontId="5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1" fillId="0" borderId="21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Logarithme des concentrations en fonction du temps</a:t>
            </a:r>
          </a:p>
        </c:rich>
      </c:tx>
      <c:layout>
        <c:manualLayout>
          <c:xMode val="factor"/>
          <c:yMode val="factor"/>
          <c:x val="-0.004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3525"/>
          <c:w val="0.9565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Feuil1!$A$4:$A$14</c:f>
              <c:numCache/>
            </c:numRef>
          </c:xVal>
          <c:yVal>
            <c:numRef>
              <c:f>Feuil1!$F$4:$F$14</c:f>
              <c:numCache/>
            </c:numRef>
          </c:yVal>
          <c:smooth val="0"/>
        </c:ser>
        <c:axId val="32055972"/>
        <c:axId val="20068293"/>
      </c:scatterChart>
      <c:val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At val="0.01"/>
        <c:crossBetween val="midCat"/>
        <c:dispUnits/>
      </c:valAx>
      <c:valAx>
        <c:axId val="2006829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Concentrations en fonction du temps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3275"/>
          <c:w val="0.9847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15.039e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-0.007x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Feuil1!$A$4:$A$14</c:f>
              <c:numCache/>
            </c:numRef>
          </c:xVal>
          <c:yVal>
            <c:numRef>
              <c:f>Feuil1!$B$4:$B$14</c:f>
              <c:numCache/>
            </c:numRef>
          </c:yVal>
          <c:smooth val="0"/>
        </c:ser>
        <c:axId val="46396910"/>
        <c:axId val="14919007"/>
      </c:scatterChart>
      <c:val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At val="0.01"/>
        <c:crossBetween val="midCat"/>
        <c:dispUnits/>
      </c:valAx>
      <c:valAx>
        <c:axId val="14919007"/>
        <c:scaling>
          <c:orientation val="minMax"/>
          <c:min val="0.010000000000000002"/>
        </c:scaling>
        <c:axPos val="l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3969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0.504</cdr:y>
    </cdr:from>
    <cdr:to>
      <cdr:x>0.515</cdr:x>
      <cdr:y>0.567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60972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21</xdr:row>
      <xdr:rowOff>114300</xdr:rowOff>
    </xdr:from>
    <xdr:to>
      <xdr:col>13</xdr:col>
      <xdr:colOff>9525</xdr:colOff>
      <xdr:row>41</xdr:row>
      <xdr:rowOff>47625</xdr:rowOff>
    </xdr:to>
    <xdr:graphicFrame>
      <xdr:nvGraphicFramePr>
        <xdr:cNvPr id="1" name="Graphique 1"/>
        <xdr:cNvGraphicFramePr/>
      </xdr:nvGraphicFramePr>
      <xdr:xfrm>
        <a:off x="5829300" y="3552825"/>
        <a:ext cx="4676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</xdr:row>
      <xdr:rowOff>152400</xdr:rowOff>
    </xdr:from>
    <xdr:to>
      <xdr:col>12</xdr:col>
      <xdr:colOff>285750</xdr:colOff>
      <xdr:row>20</xdr:row>
      <xdr:rowOff>114300</xdr:rowOff>
    </xdr:to>
    <xdr:graphicFrame>
      <xdr:nvGraphicFramePr>
        <xdr:cNvPr id="2" name="Graphique 2"/>
        <xdr:cNvGraphicFramePr/>
      </xdr:nvGraphicFramePr>
      <xdr:xfrm>
        <a:off x="5781675" y="485775"/>
        <a:ext cx="4238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3"/>
  <sheetViews>
    <sheetView tabSelected="1" zoomScale="160" zoomScaleNormal="160" zoomScalePageLayoutView="0" workbookViewId="0" topLeftCell="A121">
      <selection activeCell="F147" sqref="F147"/>
    </sheetView>
  </sheetViews>
  <sheetFormatPr defaultColWidth="11.421875" defaultRowHeight="12.75"/>
  <cols>
    <col min="1" max="1" width="18.28125" style="0" customWidth="1"/>
    <col min="2" max="2" width="12.7109375" style="0" customWidth="1"/>
    <col min="3" max="3" width="10.00390625" style="0" customWidth="1"/>
    <col min="4" max="4" width="10.421875" style="0" customWidth="1"/>
    <col min="5" max="5" width="11.421875" style="0" customWidth="1"/>
    <col min="6" max="6" width="19.140625" style="0" customWidth="1"/>
    <col min="7" max="7" width="6.8515625" style="0" customWidth="1"/>
  </cols>
  <sheetData>
    <row r="2" spans="3:4" ht="13.5" thickBot="1">
      <c r="C2" s="163" t="s">
        <v>64</v>
      </c>
      <c r="D2" s="163"/>
    </row>
    <row r="3" spans="1:6" ht="12.75">
      <c r="A3" s="82" t="s">
        <v>5</v>
      </c>
      <c r="B3" s="83" t="s">
        <v>8</v>
      </c>
      <c r="C3" s="56" t="s">
        <v>55</v>
      </c>
      <c r="D3" s="52" t="s">
        <v>56</v>
      </c>
      <c r="E3" s="50"/>
      <c r="F3" s="51" t="s">
        <v>72</v>
      </c>
    </row>
    <row r="4" spans="1:6" ht="12.75">
      <c r="A4" s="84">
        <v>1</v>
      </c>
      <c r="B4" s="85">
        <v>14.91</v>
      </c>
      <c r="C4" s="57"/>
      <c r="D4" s="53"/>
      <c r="E4" s="2"/>
      <c r="F4" s="47">
        <f>LN(B4)</f>
        <v>2.702032128776647</v>
      </c>
    </row>
    <row r="5" spans="1:6" ht="12.75">
      <c r="A5" s="84">
        <v>5</v>
      </c>
      <c r="B5" s="85">
        <v>14.52</v>
      </c>
      <c r="C5" s="58">
        <f>(A5-A4)*(B5+B4)/2</f>
        <v>58.86</v>
      </c>
      <c r="D5" s="54">
        <f>(A5-A4)*SQRT(B4*B5)</f>
        <v>58.854831577365</v>
      </c>
      <c r="E5" s="2"/>
      <c r="F5" s="47">
        <f>LN(B5)</f>
        <v>2.67552700939665</v>
      </c>
    </row>
    <row r="6" spans="1:6" ht="12.75">
      <c r="A6" s="84">
        <v>10</v>
      </c>
      <c r="B6" s="85">
        <v>14.04</v>
      </c>
      <c r="C6" s="58">
        <f aca="true" t="shared" si="0" ref="C6:C13">(A6-A5)*(B6+B5)/2</f>
        <v>71.39999999999999</v>
      </c>
      <c r="D6" s="54">
        <f aca="true" t="shared" si="1" ref="D6:D14">(A6-A5)*SQRT(B5*B6)</f>
        <v>71.38991525418699</v>
      </c>
      <c r="E6" s="2"/>
      <c r="F6" s="47">
        <f aca="true" t="shared" si="2" ref="F6:F13">LN(B6)</f>
        <v>2.641910398597665</v>
      </c>
    </row>
    <row r="7" spans="1:6" ht="12.75">
      <c r="A7" s="84">
        <v>20</v>
      </c>
      <c r="B7" s="85">
        <v>13.14</v>
      </c>
      <c r="C7" s="58">
        <f t="shared" si="0"/>
        <v>135.9</v>
      </c>
      <c r="D7" s="54">
        <f t="shared" si="1"/>
        <v>135.82547625537705</v>
      </c>
      <c r="E7" s="2"/>
      <c r="F7" s="47">
        <f t="shared" si="2"/>
        <v>2.5756610130564646</v>
      </c>
    </row>
    <row r="8" spans="1:6" ht="12.75">
      <c r="A8" s="84">
        <v>30</v>
      </c>
      <c r="B8" s="85">
        <v>12.27</v>
      </c>
      <c r="C8" s="58">
        <f t="shared" si="0"/>
        <v>127.05</v>
      </c>
      <c r="D8" s="54">
        <f t="shared" si="1"/>
        <v>126.97550944965727</v>
      </c>
      <c r="E8" s="2"/>
      <c r="F8" s="47">
        <f t="shared" si="2"/>
        <v>2.50715725872282</v>
      </c>
    </row>
    <row r="9" spans="1:14" ht="12.75">
      <c r="A9" s="84">
        <v>60</v>
      </c>
      <c r="B9" s="85">
        <v>10.05</v>
      </c>
      <c r="C9" s="58">
        <f t="shared" si="0"/>
        <v>334.8</v>
      </c>
      <c r="D9" s="54">
        <f t="shared" si="1"/>
        <v>333.1398355045521</v>
      </c>
      <c r="E9" s="2"/>
      <c r="F9" s="47">
        <f t="shared" si="2"/>
        <v>2.307572634505085</v>
      </c>
      <c r="N9" t="s">
        <v>59</v>
      </c>
    </row>
    <row r="10" spans="1:6" ht="12.75">
      <c r="A10" s="84">
        <v>120</v>
      </c>
      <c r="B10" s="85">
        <v>6.75</v>
      </c>
      <c r="C10" s="58">
        <f t="shared" si="0"/>
        <v>504</v>
      </c>
      <c r="D10" s="54">
        <f t="shared" si="1"/>
        <v>494.1811408785244</v>
      </c>
      <c r="E10" s="2"/>
      <c r="F10" s="47">
        <f>LN(B10)</f>
        <v>1.9095425048844386</v>
      </c>
    </row>
    <row r="11" spans="1:6" ht="12.75">
      <c r="A11" s="84">
        <v>240</v>
      </c>
      <c r="B11" s="85">
        <v>3.0300000000000002</v>
      </c>
      <c r="C11" s="58">
        <f t="shared" si="0"/>
        <v>586.8000000000001</v>
      </c>
      <c r="D11" s="54">
        <f t="shared" si="1"/>
        <v>542.6932835405281</v>
      </c>
      <c r="E11" s="2"/>
      <c r="F11" s="47">
        <f t="shared" si="2"/>
        <v>1.1085626195212779</v>
      </c>
    </row>
    <row r="12" spans="1:6" ht="12.75">
      <c r="A12" s="84">
        <v>360</v>
      </c>
      <c r="B12" s="85">
        <v>1.35</v>
      </c>
      <c r="C12" s="58">
        <f t="shared" si="0"/>
        <v>262.80000000000007</v>
      </c>
      <c r="D12" s="54">
        <f t="shared" si="1"/>
        <v>242.69981458583774</v>
      </c>
      <c r="E12" s="2"/>
      <c r="F12" s="47">
        <f t="shared" si="2"/>
        <v>0.30010459245033816</v>
      </c>
    </row>
    <row r="13" spans="1:15" ht="12.75">
      <c r="A13" s="84">
        <v>480</v>
      </c>
      <c r="B13" s="85">
        <v>0.6000000000000001</v>
      </c>
      <c r="C13" s="58">
        <f t="shared" si="0"/>
        <v>117.00000000000001</v>
      </c>
      <c r="D13" s="54">
        <f t="shared" si="1"/>
        <v>108.00000000000001</v>
      </c>
      <c r="E13" s="2"/>
      <c r="F13" s="47">
        <f t="shared" si="2"/>
        <v>-0.5108256237659905</v>
      </c>
      <c r="G13" t="s">
        <v>59</v>
      </c>
      <c r="O13" t="s">
        <v>59</v>
      </c>
    </row>
    <row r="14" spans="1:6" ht="13.5" thickBot="1">
      <c r="A14" s="86">
        <v>720</v>
      </c>
      <c r="B14" s="87">
        <v>0.12</v>
      </c>
      <c r="C14" s="58">
        <f>(A14-A13)*(B14+B13)/2</f>
        <v>86.4</v>
      </c>
      <c r="D14" s="54">
        <f t="shared" si="1"/>
        <v>64.39875775199394</v>
      </c>
      <c r="E14" s="2"/>
      <c r="F14" s="47">
        <f>LN(B14)</f>
        <v>-2.120263536200091</v>
      </c>
    </row>
    <row r="15" spans="3:5" ht="12.75">
      <c r="C15" s="59"/>
      <c r="D15" s="55"/>
      <c r="E15">
        <f>15/0.0067</f>
        <v>2238.805970149254</v>
      </c>
    </row>
    <row r="16" spans="3:4" ht="13.5" thickBot="1">
      <c r="C16" s="59"/>
      <c r="D16" s="55"/>
    </row>
    <row r="17" spans="1:6" ht="12.75">
      <c r="A17" s="114" t="s">
        <v>51</v>
      </c>
      <c r="B17" s="115"/>
      <c r="C17" s="116"/>
      <c r="D17" s="117"/>
      <c r="E17" s="118"/>
      <c r="F17" s="8"/>
    </row>
    <row r="18" spans="1:6" ht="12.75">
      <c r="A18" s="84" t="s">
        <v>6</v>
      </c>
      <c r="B18" s="16"/>
      <c r="C18" s="92">
        <f>SUM(C5:C14)</f>
        <v>2285.01</v>
      </c>
      <c r="D18" s="93">
        <f>SUM(D5:D14)</f>
        <v>2178.158564798023</v>
      </c>
      <c r="E18" s="119"/>
      <c r="F18" s="8"/>
    </row>
    <row r="19" spans="1:6" ht="12.75">
      <c r="A19" s="84" t="s">
        <v>7</v>
      </c>
      <c r="B19" s="16"/>
      <c r="C19" s="92">
        <f>B14/0.007</f>
        <v>17.142857142857142</v>
      </c>
      <c r="D19" s="93">
        <f>B14/0.007</f>
        <v>17.142857142857142</v>
      </c>
      <c r="E19" s="120" t="s">
        <v>73</v>
      </c>
      <c r="F19" s="27"/>
    </row>
    <row r="20" spans="1:6" ht="12.75">
      <c r="A20" s="84"/>
      <c r="B20" s="16"/>
      <c r="C20" s="94"/>
      <c r="D20" s="95"/>
      <c r="E20" s="121"/>
      <c r="F20" s="27">
        <f>80*0.15</f>
        <v>12</v>
      </c>
    </row>
    <row r="21" spans="1:6" ht="13.5" thickBot="1">
      <c r="A21" s="122" t="s">
        <v>62</v>
      </c>
      <c r="B21" s="123" t="s">
        <v>9</v>
      </c>
      <c r="C21" s="124">
        <f>SUM(C18,C19)</f>
        <v>2302.1528571428576</v>
      </c>
      <c r="D21" s="125">
        <f>SUM(D18,D19)</f>
        <v>2195.30142194088</v>
      </c>
      <c r="E21" s="126">
        <f>(D21-C21)/C21</f>
        <v>-0.04641370136237956</v>
      </c>
      <c r="F21" s="27"/>
    </row>
    <row r="22" spans="5:6" ht="12.75">
      <c r="E22" s="1"/>
      <c r="F22" s="1"/>
    </row>
    <row r="23" spans="5:6" ht="13.5" thickBot="1">
      <c r="E23" s="1"/>
      <c r="F23" s="1"/>
    </row>
    <row r="24" spans="1:6" ht="12.75">
      <c r="A24" s="114" t="s">
        <v>52</v>
      </c>
      <c r="B24" s="115"/>
      <c r="C24" s="115"/>
      <c r="D24" s="115"/>
      <c r="E24" s="127"/>
      <c r="F24" s="128"/>
    </row>
    <row r="25" spans="1:10" ht="12.75">
      <c r="A25" s="84"/>
      <c r="B25" s="8"/>
      <c r="C25" s="8"/>
      <c r="D25" s="8"/>
      <c r="E25" s="8"/>
      <c r="F25" s="158" t="s">
        <v>59</v>
      </c>
      <c r="H25" s="1"/>
      <c r="J25" s="4"/>
    </row>
    <row r="26" spans="1:10" ht="12.75">
      <c r="A26" s="84" t="s">
        <v>0</v>
      </c>
      <c r="B26" s="8">
        <v>50</v>
      </c>
      <c r="C26" s="8" t="s">
        <v>1</v>
      </c>
      <c r="D26" s="8"/>
      <c r="E26" s="8"/>
      <c r="F26" s="119"/>
      <c r="H26" s="1"/>
      <c r="J26" s="4"/>
    </row>
    <row r="27" spans="1:10" ht="12.75">
      <c r="A27" s="84"/>
      <c r="B27" s="8"/>
      <c r="C27" s="8"/>
      <c r="D27" s="8"/>
      <c r="E27" s="8"/>
      <c r="F27" s="119"/>
      <c r="G27" s="3"/>
      <c r="H27" s="1"/>
      <c r="J27" s="4"/>
    </row>
    <row r="28" spans="1:10" ht="12.75">
      <c r="A28" s="129" t="s">
        <v>2</v>
      </c>
      <c r="B28" s="7">
        <f>B26/C21</f>
        <v>0.021718801097357934</v>
      </c>
      <c r="C28" s="8" t="s">
        <v>10</v>
      </c>
      <c r="D28" s="60" t="s">
        <v>74</v>
      </c>
      <c r="E28" s="8"/>
      <c r="F28" s="119"/>
      <c r="G28" s="3"/>
      <c r="H28" s="1"/>
      <c r="J28" s="4"/>
    </row>
    <row r="29" spans="1:10" ht="12.75">
      <c r="A29" s="84"/>
      <c r="B29" s="15">
        <f>B28*1000</f>
        <v>21.718801097357932</v>
      </c>
      <c r="C29" s="16" t="s">
        <v>75</v>
      </c>
      <c r="D29" s="8"/>
      <c r="E29" s="8"/>
      <c r="F29" s="119"/>
      <c r="G29" s="3"/>
      <c r="H29" s="1"/>
      <c r="J29" s="4"/>
    </row>
    <row r="30" spans="1:10" ht="12.75">
      <c r="A30" s="84"/>
      <c r="B30" s="13"/>
      <c r="C30" s="8"/>
      <c r="D30" s="8"/>
      <c r="E30" s="8"/>
      <c r="F30" s="119"/>
      <c r="G30" s="3"/>
      <c r="H30" s="1"/>
      <c r="J30" s="4"/>
    </row>
    <row r="31" spans="1:10" ht="12.75">
      <c r="A31" s="130" t="s">
        <v>11</v>
      </c>
      <c r="B31" s="65" t="s">
        <v>90</v>
      </c>
      <c r="C31" s="63" t="s">
        <v>75</v>
      </c>
      <c r="D31" s="8"/>
      <c r="E31" s="8"/>
      <c r="F31" s="119"/>
      <c r="G31" s="3"/>
      <c r="H31" s="1"/>
      <c r="J31" s="4"/>
    </row>
    <row r="32" spans="1:10" ht="12.75">
      <c r="A32" s="84" t="s">
        <v>63</v>
      </c>
      <c r="B32" s="131" t="s">
        <v>91</v>
      </c>
      <c r="C32" s="42" t="s">
        <v>75</v>
      </c>
      <c r="D32" s="64" t="s">
        <v>76</v>
      </c>
      <c r="E32" s="63"/>
      <c r="F32" s="119"/>
      <c r="G32" s="3" t="s">
        <v>59</v>
      </c>
      <c r="H32" s="1"/>
      <c r="J32" s="4"/>
    </row>
    <row r="33" spans="1:10" ht="12.75">
      <c r="A33" s="84" t="s">
        <v>98</v>
      </c>
      <c r="B33" s="65">
        <v>15</v>
      </c>
      <c r="C33" s="63" t="s">
        <v>99</v>
      </c>
      <c r="D33" s="63" t="s">
        <v>101</v>
      </c>
      <c r="E33" s="63"/>
      <c r="F33" s="132"/>
      <c r="G33" s="3"/>
      <c r="H33" s="1"/>
      <c r="J33" s="4"/>
    </row>
    <row r="34" spans="1:10" ht="12.75">
      <c r="A34" s="133" t="s">
        <v>100</v>
      </c>
      <c r="B34" s="65">
        <v>35</v>
      </c>
      <c r="C34" s="63" t="s">
        <v>99</v>
      </c>
      <c r="D34" s="63" t="s">
        <v>107</v>
      </c>
      <c r="E34" s="63"/>
      <c r="F34" s="132"/>
      <c r="G34" s="3"/>
      <c r="H34" s="1"/>
      <c r="J34" s="4"/>
    </row>
    <row r="35" spans="1:10" ht="12.75">
      <c r="A35" s="133" t="s">
        <v>102</v>
      </c>
      <c r="B35" s="96" t="s">
        <v>105</v>
      </c>
      <c r="C35" s="97" t="s">
        <v>103</v>
      </c>
      <c r="D35" s="98" t="s">
        <v>104</v>
      </c>
      <c r="E35" s="98"/>
      <c r="F35" s="132"/>
      <c r="G35" s="3"/>
      <c r="H35" s="1"/>
      <c r="J35" s="4"/>
    </row>
    <row r="36" spans="1:10" ht="13.5" thickBot="1">
      <c r="A36" s="134" t="s">
        <v>106</v>
      </c>
      <c r="B36" s="135"/>
      <c r="C36" s="136"/>
      <c r="D36" s="137"/>
      <c r="E36" s="138"/>
      <c r="F36" s="139"/>
      <c r="G36" s="3"/>
      <c r="H36" s="1"/>
      <c r="J36" s="4"/>
    </row>
    <row r="37" spans="1:10" ht="12.75">
      <c r="A37" s="8"/>
      <c r="B37" s="12"/>
      <c r="C37" s="8"/>
      <c r="G37" s="3"/>
      <c r="H37" s="1"/>
      <c r="J37" s="4"/>
    </row>
    <row r="38" spans="1:10" ht="13.5" thickBot="1">
      <c r="A38" s="8"/>
      <c r="B38" s="12"/>
      <c r="C38" s="8"/>
      <c r="G38" s="3"/>
      <c r="H38" s="1"/>
      <c r="J38" s="4"/>
    </row>
    <row r="39" spans="1:10" ht="12.75">
      <c r="A39" s="114" t="s">
        <v>12</v>
      </c>
      <c r="B39" s="140"/>
      <c r="C39" s="115"/>
      <c r="D39" s="115"/>
      <c r="E39" s="115"/>
      <c r="F39" s="118"/>
      <c r="G39" s="3"/>
      <c r="H39" s="1"/>
      <c r="J39" s="4"/>
    </row>
    <row r="40" spans="1:10" ht="12.75">
      <c r="A40" s="84" t="s">
        <v>13</v>
      </c>
      <c r="B40" s="13">
        <f>1-0.84</f>
        <v>0.16000000000000003</v>
      </c>
      <c r="C40" s="8"/>
      <c r="D40" s="8"/>
      <c r="E40" s="8"/>
      <c r="F40" s="119"/>
      <c r="G40" s="3"/>
      <c r="H40" s="1"/>
      <c r="J40" s="4"/>
    </row>
    <row r="41" spans="1:10" ht="12.75">
      <c r="A41" s="141" t="s">
        <v>15</v>
      </c>
      <c r="B41" s="8">
        <v>90</v>
      </c>
      <c r="C41" s="8" t="s">
        <v>16</v>
      </c>
      <c r="D41" s="8"/>
      <c r="E41" s="8"/>
      <c r="F41" s="119"/>
      <c r="G41" s="3"/>
      <c r="H41" s="1"/>
      <c r="J41" s="4"/>
    </row>
    <row r="42" spans="1:10" ht="12.75">
      <c r="A42" s="141"/>
      <c r="B42" s="8"/>
      <c r="C42" s="8"/>
      <c r="D42" s="8"/>
      <c r="E42" s="8"/>
      <c r="F42" s="119"/>
      <c r="G42" s="3"/>
      <c r="H42" s="1"/>
      <c r="J42" s="4"/>
    </row>
    <row r="43" spans="1:10" ht="12.75">
      <c r="A43" s="129" t="s">
        <v>14</v>
      </c>
      <c r="B43" s="12">
        <f>B41*1000/C21</f>
        <v>39.09384197524428</v>
      </c>
      <c r="C43" s="8" t="s">
        <v>97</v>
      </c>
      <c r="D43" s="60" t="s">
        <v>92</v>
      </c>
      <c r="E43" s="8"/>
      <c r="F43" s="119"/>
      <c r="G43" s="3"/>
      <c r="H43" s="1"/>
      <c r="J43" s="4"/>
    </row>
    <row r="44" spans="1:10" ht="12.75">
      <c r="A44" s="84"/>
      <c r="B44" s="15">
        <f>B43/60</f>
        <v>0.6515640329207381</v>
      </c>
      <c r="C44" s="16" t="s">
        <v>75</v>
      </c>
      <c r="D44" s="8"/>
      <c r="E44" s="8"/>
      <c r="F44" s="119"/>
      <c r="G44" s="3"/>
      <c r="J44" s="4"/>
    </row>
    <row r="45" spans="1:10" ht="12.75">
      <c r="A45" s="84"/>
      <c r="B45" s="8"/>
      <c r="C45" s="8"/>
      <c r="D45" s="8"/>
      <c r="E45" s="8"/>
      <c r="F45" s="119"/>
      <c r="G45" s="3"/>
      <c r="H45" s="1"/>
      <c r="J45" s="4"/>
    </row>
    <row r="46" spans="1:10" ht="12.75">
      <c r="A46" s="84"/>
      <c r="B46" s="8"/>
      <c r="C46" s="8"/>
      <c r="D46" s="8"/>
      <c r="E46" s="8"/>
      <c r="F46" s="119"/>
      <c r="G46" s="3"/>
      <c r="H46" s="1"/>
      <c r="J46" s="4"/>
    </row>
    <row r="47" spans="1:10" ht="12.75">
      <c r="A47" s="84"/>
      <c r="B47" s="15"/>
      <c r="C47" s="16"/>
      <c r="D47" s="8"/>
      <c r="E47" s="8"/>
      <c r="F47" s="119"/>
      <c r="G47" s="3"/>
      <c r="H47" s="1"/>
      <c r="J47" s="4"/>
    </row>
    <row r="48" spans="1:10" ht="12.75">
      <c r="A48" s="133" t="s">
        <v>65</v>
      </c>
      <c r="B48" s="15"/>
      <c r="C48" s="16"/>
      <c r="D48" s="8"/>
      <c r="E48" s="8"/>
      <c r="F48" s="119"/>
      <c r="G48" s="3"/>
      <c r="H48" s="1"/>
      <c r="J48" s="4"/>
    </row>
    <row r="49" spans="1:12" ht="12.75">
      <c r="A49" s="84"/>
      <c r="B49" s="15"/>
      <c r="C49" s="16"/>
      <c r="D49" s="8"/>
      <c r="E49" s="8"/>
      <c r="F49" s="119"/>
      <c r="G49" s="3"/>
      <c r="H49" s="1"/>
      <c r="J49" s="4"/>
      <c r="L49">
        <f>16/20</f>
        <v>0.8</v>
      </c>
    </row>
    <row r="50" spans="1:10" ht="12.75">
      <c r="A50" s="84" t="s">
        <v>17</v>
      </c>
      <c r="B50" s="159">
        <f>80*0.02</f>
        <v>1.6</v>
      </c>
      <c r="C50" s="8" t="s">
        <v>3</v>
      </c>
      <c r="E50" s="63"/>
      <c r="F50" s="119"/>
      <c r="G50" s="3"/>
      <c r="H50" s="1"/>
      <c r="J50" s="4"/>
    </row>
    <row r="51" spans="1:10" ht="12.75">
      <c r="A51" s="84"/>
      <c r="B51" s="17">
        <f>B50*60</f>
        <v>96</v>
      </c>
      <c r="C51" s="42" t="s">
        <v>126</v>
      </c>
      <c r="D51" s="63" t="s">
        <v>127</v>
      </c>
      <c r="E51" s="63"/>
      <c r="F51" s="119"/>
      <c r="G51" s="3"/>
      <c r="H51" s="1"/>
      <c r="J51" s="4"/>
    </row>
    <row r="52" spans="1:10" ht="12.75">
      <c r="A52" s="129" t="s">
        <v>66</v>
      </c>
      <c r="B52" s="15">
        <f>B50*B40</f>
        <v>0.25600000000000006</v>
      </c>
      <c r="C52" s="16" t="s">
        <v>3</v>
      </c>
      <c r="D52" s="60" t="s">
        <v>93</v>
      </c>
      <c r="E52" s="8"/>
      <c r="F52" s="119"/>
      <c r="G52" s="3" t="s">
        <v>60</v>
      </c>
      <c r="H52" s="1"/>
      <c r="J52" s="4"/>
    </row>
    <row r="53" spans="1:10" ht="12.75">
      <c r="A53" s="129" t="s">
        <v>94</v>
      </c>
      <c r="B53" s="15">
        <f>B44-B52</f>
        <v>0.395564032920738</v>
      </c>
      <c r="C53" s="16" t="s">
        <v>3</v>
      </c>
      <c r="D53" s="60"/>
      <c r="E53" s="8"/>
      <c r="F53" s="119"/>
      <c r="G53" s="3"/>
      <c r="H53" s="1"/>
      <c r="J53" s="4"/>
    </row>
    <row r="54" spans="1:10" ht="12.75">
      <c r="A54" s="129"/>
      <c r="B54" s="18">
        <f>B53/B44</f>
        <v>0.6070992457142855</v>
      </c>
      <c r="C54" s="16" t="s">
        <v>95</v>
      </c>
      <c r="D54" s="60"/>
      <c r="E54" s="8"/>
      <c r="F54" s="119"/>
      <c r="G54" s="3"/>
      <c r="H54" s="1"/>
      <c r="J54" s="4"/>
    </row>
    <row r="55" spans="1:10" ht="12.75">
      <c r="A55" s="129" t="s">
        <v>125</v>
      </c>
      <c r="B55" s="15"/>
      <c r="C55" s="16"/>
      <c r="D55" s="31"/>
      <c r="E55" s="8"/>
      <c r="F55" s="119"/>
      <c r="G55" s="3"/>
      <c r="H55" s="1"/>
      <c r="J55" s="4"/>
    </row>
    <row r="56" spans="1:10" ht="12.75">
      <c r="A56" s="129"/>
      <c r="B56" s="15"/>
      <c r="C56" s="16"/>
      <c r="D56" s="31"/>
      <c r="E56" s="8"/>
      <c r="F56" s="119"/>
      <c r="G56" s="3"/>
      <c r="H56" s="1"/>
      <c r="J56" s="4"/>
    </row>
    <row r="57" spans="1:10" ht="12.75">
      <c r="A57" s="133" t="s">
        <v>119</v>
      </c>
      <c r="B57" s="15"/>
      <c r="C57" s="16"/>
      <c r="D57" s="31"/>
      <c r="E57" s="8"/>
      <c r="F57" s="119"/>
      <c r="G57" s="3"/>
      <c r="H57" s="1"/>
      <c r="J57" s="4"/>
    </row>
    <row r="58" spans="1:10" ht="12.75">
      <c r="A58" s="133"/>
      <c r="B58" s="15"/>
      <c r="C58" s="16"/>
      <c r="D58" s="31"/>
      <c r="E58" s="8"/>
      <c r="F58" s="119"/>
      <c r="G58" s="3"/>
      <c r="H58" s="1"/>
      <c r="J58" s="4"/>
    </row>
    <row r="59" spans="1:10" ht="12.75">
      <c r="A59" s="129" t="s">
        <v>14</v>
      </c>
      <c r="B59" s="15">
        <v>0.6515640329207381</v>
      </c>
      <c r="C59" s="16" t="s">
        <v>75</v>
      </c>
      <c r="D59" s="31"/>
      <c r="E59" s="8"/>
      <c r="F59" s="119"/>
      <c r="G59" s="3"/>
      <c r="H59" s="1"/>
      <c r="J59" s="4"/>
    </row>
    <row r="60" spans="1:10" ht="12.75">
      <c r="A60" s="129"/>
      <c r="B60" s="90">
        <f>B59/B29</f>
        <v>0.030000000000000002</v>
      </c>
      <c r="C60" s="16" t="s">
        <v>96</v>
      </c>
      <c r="D60" s="31"/>
      <c r="E60" s="8"/>
      <c r="F60" s="119"/>
      <c r="G60" s="3"/>
      <c r="H60" s="1"/>
      <c r="J60" s="4"/>
    </row>
    <row r="61" spans="1:10" ht="25.5" customHeight="1" thickBot="1">
      <c r="A61" s="164" t="s">
        <v>108</v>
      </c>
      <c r="B61" s="165"/>
      <c r="C61" s="165"/>
      <c r="D61" s="165"/>
      <c r="E61" s="165"/>
      <c r="F61" s="166"/>
      <c r="G61" s="3"/>
      <c r="H61" s="1"/>
      <c r="J61" s="4"/>
    </row>
    <row r="62" spans="1:10" ht="12.75" customHeight="1">
      <c r="A62" s="68"/>
      <c r="B62" s="69"/>
      <c r="C62" s="69"/>
      <c r="D62" s="69"/>
      <c r="E62" s="69"/>
      <c r="F62" s="69"/>
      <c r="G62" s="3"/>
      <c r="H62" s="1"/>
      <c r="J62" s="4"/>
    </row>
    <row r="63" spans="1:10" ht="12.75" customHeight="1" thickBot="1">
      <c r="A63" s="8"/>
      <c r="B63" s="8"/>
      <c r="C63" s="8"/>
      <c r="D63" s="8"/>
      <c r="E63" s="8"/>
      <c r="F63" s="8"/>
      <c r="G63" s="3"/>
      <c r="H63" s="1"/>
      <c r="J63" s="4"/>
    </row>
    <row r="64" spans="1:10" ht="12.75" customHeight="1">
      <c r="A64" s="114" t="s">
        <v>18</v>
      </c>
      <c r="B64" s="115"/>
      <c r="C64" s="115"/>
      <c r="D64" s="115"/>
      <c r="E64" s="115"/>
      <c r="F64" s="118"/>
      <c r="G64" s="3"/>
      <c r="H64" s="1"/>
      <c r="J64" s="4"/>
    </row>
    <row r="65" spans="1:10" ht="12.75" customHeight="1">
      <c r="A65" s="84"/>
      <c r="B65" s="7"/>
      <c r="C65" s="8"/>
      <c r="D65" s="8"/>
      <c r="E65" s="8"/>
      <c r="F65" s="119"/>
      <c r="G65" s="3"/>
      <c r="H65" s="1"/>
      <c r="J65" s="4"/>
    </row>
    <row r="66" spans="1:10" ht="12.75" customHeight="1">
      <c r="A66" s="84" t="s">
        <v>19</v>
      </c>
      <c r="B66" s="89">
        <f>B29-B44</f>
        <v>21.067237064437194</v>
      </c>
      <c r="C66" s="16" t="s">
        <v>3</v>
      </c>
      <c r="D66" s="60" t="s">
        <v>78</v>
      </c>
      <c r="E66" s="8"/>
      <c r="F66" s="119"/>
      <c r="G66" s="3"/>
      <c r="H66" s="1"/>
      <c r="J66" s="4"/>
    </row>
    <row r="67" spans="1:10" ht="12.75" customHeight="1">
      <c r="A67" s="84"/>
      <c r="B67" s="15"/>
      <c r="C67" s="16"/>
      <c r="D67" s="8"/>
      <c r="E67" s="8"/>
      <c r="F67" s="119"/>
      <c r="G67" s="3"/>
      <c r="H67" s="1"/>
      <c r="J67" s="4"/>
    </row>
    <row r="68" spans="1:10" ht="25.5" customHeight="1">
      <c r="A68" s="167" t="s">
        <v>79</v>
      </c>
      <c r="B68" s="168"/>
      <c r="C68" s="168"/>
      <c r="D68" s="168"/>
      <c r="E68" s="168"/>
      <c r="F68" s="169"/>
      <c r="G68" s="3"/>
      <c r="H68" s="1"/>
      <c r="J68" s="4"/>
    </row>
    <row r="69" spans="1:10" s="8" customFormat="1" ht="12.75">
      <c r="A69" s="84"/>
      <c r="B69" s="7"/>
      <c r="F69" s="119"/>
      <c r="G69" s="7"/>
      <c r="H69" s="16"/>
      <c r="I69" s="7"/>
      <c r="J69" s="14"/>
    </row>
    <row r="70" spans="1:10" s="8" customFormat="1" ht="26.25" customHeight="1">
      <c r="A70" s="170" t="s">
        <v>80</v>
      </c>
      <c r="B70" s="171"/>
      <c r="C70" s="171"/>
      <c r="D70" s="171"/>
      <c r="E70" s="171"/>
      <c r="F70" s="172"/>
      <c r="J70" s="14"/>
    </row>
    <row r="71" spans="1:10" s="8" customFormat="1" ht="12.75">
      <c r="A71" s="84"/>
      <c r="B71" s="15"/>
      <c r="C71" s="16"/>
      <c r="F71" s="119"/>
      <c r="G71" s="7"/>
      <c r="H71" s="16"/>
      <c r="J71" s="14"/>
    </row>
    <row r="72" spans="1:10" s="8" customFormat="1" ht="12.75">
      <c r="A72" s="133" t="s">
        <v>11</v>
      </c>
      <c r="B72" s="91"/>
      <c r="C72" s="91">
        <v>80</v>
      </c>
      <c r="D72" s="8" t="s">
        <v>3</v>
      </c>
      <c r="F72" s="119"/>
      <c r="G72" s="7"/>
      <c r="H72" s="16"/>
      <c r="J72" s="14"/>
    </row>
    <row r="73" spans="1:10" s="8" customFormat="1" ht="12.75">
      <c r="A73" s="84" t="s">
        <v>20</v>
      </c>
      <c r="B73" s="17"/>
      <c r="C73" s="17">
        <f>C72*0.3</f>
        <v>24</v>
      </c>
      <c r="D73" s="8" t="s">
        <v>3</v>
      </c>
      <c r="E73" s="64" t="s">
        <v>77</v>
      </c>
      <c r="F73" s="119"/>
      <c r="G73" s="7"/>
      <c r="H73" s="16"/>
      <c r="J73" s="14"/>
    </row>
    <row r="74" spans="1:10" s="8" customFormat="1" ht="12.75">
      <c r="A74" s="84" t="s">
        <v>21</v>
      </c>
      <c r="B74" s="90"/>
      <c r="C74" s="24">
        <f>1-B66/C73</f>
        <v>0.12219845564845022</v>
      </c>
      <c r="E74" s="42" t="s">
        <v>81</v>
      </c>
      <c r="F74" s="119"/>
      <c r="G74" s="7"/>
      <c r="H74" s="16"/>
      <c r="J74" s="14"/>
    </row>
    <row r="75" spans="1:10" s="8" customFormat="1" ht="12.75">
      <c r="A75" s="84"/>
      <c r="B75" s="18"/>
      <c r="D75" s="42"/>
      <c r="F75" s="119"/>
      <c r="G75" s="7"/>
      <c r="H75" s="16"/>
      <c r="J75" s="14"/>
    </row>
    <row r="76" spans="1:10" s="8" customFormat="1" ht="25.5" customHeight="1" thickBot="1">
      <c r="A76" s="173" t="s">
        <v>120</v>
      </c>
      <c r="B76" s="174"/>
      <c r="C76" s="174"/>
      <c r="D76" s="174"/>
      <c r="E76" s="174"/>
      <c r="F76" s="175"/>
      <c r="G76" s="7"/>
      <c r="H76" s="16"/>
      <c r="J76" s="14"/>
    </row>
    <row r="77" spans="7:10" s="8" customFormat="1" ht="12.75">
      <c r="G77" s="7"/>
      <c r="H77" s="16"/>
      <c r="J77" s="14"/>
    </row>
    <row r="78" spans="7:10" s="8" customFormat="1" ht="13.5" thickBot="1">
      <c r="G78" s="7"/>
      <c r="H78" s="16"/>
      <c r="J78" s="14"/>
    </row>
    <row r="79" spans="1:10" s="8" customFormat="1" ht="12.75">
      <c r="A79" s="114" t="s">
        <v>22</v>
      </c>
      <c r="B79" s="142"/>
      <c r="C79" s="115"/>
      <c r="D79" s="115"/>
      <c r="E79" s="115"/>
      <c r="F79" s="118"/>
      <c r="G79" s="7"/>
      <c r="H79" s="16"/>
      <c r="J79" s="14"/>
    </row>
    <row r="80" spans="1:10" s="8" customFormat="1" ht="12.75">
      <c r="A80" s="84"/>
      <c r="B80" s="18"/>
      <c r="F80" s="119"/>
      <c r="G80" s="7"/>
      <c r="H80" s="16"/>
      <c r="J80" s="14"/>
    </row>
    <row r="81" spans="1:10" s="8" customFormat="1" ht="12.75">
      <c r="A81" s="84" t="s">
        <v>23</v>
      </c>
      <c r="B81" s="99">
        <f>LN(2)/0.007</f>
        <v>99.02102579427789</v>
      </c>
      <c r="C81" s="16" t="s">
        <v>24</v>
      </c>
      <c r="D81" s="60" t="s">
        <v>82</v>
      </c>
      <c r="F81" s="119"/>
      <c r="G81" s="7"/>
      <c r="H81" s="16"/>
      <c r="J81" s="14"/>
    </row>
    <row r="82" spans="1:10" s="8" customFormat="1" ht="12.75">
      <c r="A82" s="84"/>
      <c r="B82" s="20">
        <f>B81/60</f>
        <v>1.6503504299046314</v>
      </c>
      <c r="C82" s="8" t="s">
        <v>4</v>
      </c>
      <c r="D82" s="13"/>
      <c r="F82" s="119"/>
      <c r="G82" s="7"/>
      <c r="H82" s="16"/>
      <c r="J82" s="14"/>
    </row>
    <row r="83" spans="1:10" s="8" customFormat="1" ht="12.75">
      <c r="A83" s="143" t="s">
        <v>110</v>
      </c>
      <c r="B83" s="106">
        <f>1/(1-0.5^(60*E83/$B$81))</f>
        <v>1.0000419111737615</v>
      </c>
      <c r="C83" s="10"/>
      <c r="D83" s="107" t="s">
        <v>111</v>
      </c>
      <c r="E83" s="108">
        <v>24</v>
      </c>
      <c r="F83" s="144"/>
      <c r="G83" s="7"/>
      <c r="H83" s="16"/>
      <c r="J83" s="14"/>
    </row>
    <row r="84" spans="1:10" s="8" customFormat="1" ht="12.75">
      <c r="A84" s="145"/>
      <c r="B84" s="100">
        <f>1/(1-0.5^(60*E84/$B$81))</f>
        <v>1.0065159308144416</v>
      </c>
      <c r="D84" s="101" t="s">
        <v>111</v>
      </c>
      <c r="E84" s="63">
        <v>12</v>
      </c>
      <c r="F84" s="119"/>
      <c r="G84" s="7"/>
      <c r="H84" s="16"/>
      <c r="J84" s="14"/>
    </row>
    <row r="85" spans="1:10" s="8" customFormat="1" ht="12.75">
      <c r="A85" s="146" t="s">
        <v>109</v>
      </c>
      <c r="B85" s="109"/>
      <c r="C85" s="11"/>
      <c r="D85" s="11"/>
      <c r="E85" s="11"/>
      <c r="F85" s="147"/>
      <c r="G85" s="7"/>
      <c r="H85" s="16"/>
      <c r="J85" s="14"/>
    </row>
    <row r="86" spans="1:10" s="8" customFormat="1" ht="12.75">
      <c r="A86" s="148"/>
      <c r="B86" s="18"/>
      <c r="F86" s="119"/>
      <c r="G86" s="7"/>
      <c r="H86" s="16"/>
      <c r="J86" s="14"/>
    </row>
    <row r="87" spans="1:10" s="8" customFormat="1" ht="12.75">
      <c r="A87" s="143" t="s">
        <v>112</v>
      </c>
      <c r="B87" s="110">
        <f>2^(E87*60/$B$81)</f>
        <v>23860.985542098988</v>
      </c>
      <c r="C87" s="10"/>
      <c r="D87" s="107" t="s">
        <v>111</v>
      </c>
      <c r="E87" s="108">
        <v>24</v>
      </c>
      <c r="F87" s="144"/>
      <c r="G87" s="7"/>
      <c r="H87" s="16"/>
      <c r="J87" s="14"/>
    </row>
    <row r="88" spans="1:10" s="8" customFormat="1" ht="12.75">
      <c r="A88" s="145"/>
      <c r="B88" s="102">
        <f>2^(E88*60/$B$81)</f>
        <v>154.470015025891</v>
      </c>
      <c r="D88" s="101" t="s">
        <v>111</v>
      </c>
      <c r="E88" s="63">
        <v>12</v>
      </c>
      <c r="F88" s="119"/>
      <c r="G88" s="7"/>
      <c r="H88" s="16"/>
      <c r="J88" s="14"/>
    </row>
    <row r="89" spans="1:10" s="8" customFormat="1" ht="12.75">
      <c r="A89" s="146" t="s">
        <v>113</v>
      </c>
      <c r="B89" s="109"/>
      <c r="C89" s="11"/>
      <c r="D89" s="11"/>
      <c r="E89" s="11"/>
      <c r="F89" s="147"/>
      <c r="G89" s="7"/>
      <c r="H89" s="16"/>
      <c r="J89" s="14"/>
    </row>
    <row r="90" spans="1:10" s="8" customFormat="1" ht="12.75">
      <c r="A90" s="148"/>
      <c r="B90" s="18"/>
      <c r="F90" s="119"/>
      <c r="G90" s="7"/>
      <c r="H90" s="16"/>
      <c r="J90" s="14"/>
    </row>
    <row r="91" spans="1:10" s="8" customFormat="1" ht="12.75">
      <c r="A91" s="149" t="s">
        <v>114</v>
      </c>
      <c r="B91" s="111">
        <f>4*B81</f>
        <v>396.08410317711156</v>
      </c>
      <c r="C91" s="112" t="s">
        <v>24</v>
      </c>
      <c r="D91" s="113" t="s">
        <v>116</v>
      </c>
      <c r="E91" s="10"/>
      <c r="F91" s="144"/>
      <c r="G91" s="7"/>
      <c r="H91" s="16"/>
      <c r="J91" s="14"/>
    </row>
    <row r="92" spans="1:10" s="8" customFormat="1" ht="12.75">
      <c r="A92" s="148"/>
      <c r="B92" s="155">
        <f>B91/60</f>
        <v>6.601401719618526</v>
      </c>
      <c r="C92" s="16" t="s">
        <v>4</v>
      </c>
      <c r="F92" s="119"/>
      <c r="G92" s="7"/>
      <c r="H92" s="16"/>
      <c r="J92" s="14"/>
    </row>
    <row r="93" spans="1:10" s="8" customFormat="1" ht="12.75">
      <c r="A93" s="146" t="s">
        <v>115</v>
      </c>
      <c r="B93" s="109"/>
      <c r="C93" s="11"/>
      <c r="D93" s="11"/>
      <c r="E93" s="11"/>
      <c r="F93" s="147"/>
      <c r="G93" s="7"/>
      <c r="H93" s="16"/>
      <c r="J93" s="14"/>
    </row>
    <row r="94" spans="1:10" s="8" customFormat="1" ht="12.75">
      <c r="A94" s="148"/>
      <c r="B94" s="18"/>
      <c r="F94" s="119"/>
      <c r="G94" s="7"/>
      <c r="H94" s="16"/>
      <c r="J94" s="14"/>
    </row>
    <row r="95" spans="1:10" s="8" customFormat="1" ht="12.75">
      <c r="A95" s="84" t="s">
        <v>25</v>
      </c>
      <c r="B95" s="19">
        <f>B81*B29/LN(2)/1000</f>
        <v>3.1026858710511327</v>
      </c>
      <c r="C95" s="16" t="s">
        <v>26</v>
      </c>
      <c r="D95" s="60" t="s">
        <v>83</v>
      </c>
      <c r="F95" s="119"/>
      <c r="G95" s="7"/>
      <c r="H95" s="16"/>
      <c r="J95" s="14"/>
    </row>
    <row r="96" spans="1:7" s="8" customFormat="1" ht="12.75">
      <c r="A96" s="84"/>
      <c r="B96" s="19"/>
      <c r="F96" s="119"/>
      <c r="G96" s="7"/>
    </row>
    <row r="97" spans="1:7" s="8" customFormat="1" ht="12.75">
      <c r="A97" s="84" t="s">
        <v>27</v>
      </c>
      <c r="B97" s="20">
        <v>0.45</v>
      </c>
      <c r="C97" s="8" t="s">
        <v>28</v>
      </c>
      <c r="D97" s="8" t="s">
        <v>121</v>
      </c>
      <c r="F97" s="119"/>
      <c r="G97" s="7"/>
    </row>
    <row r="98" spans="1:7" s="8" customFormat="1" ht="12.75">
      <c r="A98" s="141" t="s">
        <v>29</v>
      </c>
      <c r="B98" s="15">
        <f>B97*B95</f>
        <v>1.3962086419730098</v>
      </c>
      <c r="C98" s="21" t="s">
        <v>1</v>
      </c>
      <c r="D98" s="60" t="s">
        <v>67</v>
      </c>
      <c r="F98" s="119"/>
      <c r="G98" s="7"/>
    </row>
    <row r="99" spans="1:8" s="8" customFormat="1" ht="12.75">
      <c r="A99" s="141"/>
      <c r="B99" s="15"/>
      <c r="C99" s="21"/>
      <c r="F99" s="119"/>
      <c r="G99" s="7"/>
      <c r="H99" s="8" t="s">
        <v>59</v>
      </c>
    </row>
    <row r="100" spans="1:8" s="8" customFormat="1" ht="12.75">
      <c r="A100" s="150" t="s">
        <v>33</v>
      </c>
      <c r="B100" s="61">
        <v>70</v>
      </c>
      <c r="C100" s="62" t="s">
        <v>30</v>
      </c>
      <c r="D100" s="63" t="s">
        <v>31</v>
      </c>
      <c r="E100" s="63"/>
      <c r="F100" s="119"/>
      <c r="G100" s="7"/>
      <c r="H100" s="8" t="s">
        <v>59</v>
      </c>
    </row>
    <row r="101" spans="1:7" s="8" customFormat="1" ht="12.75">
      <c r="A101" s="150" t="s">
        <v>57</v>
      </c>
      <c r="B101" s="61">
        <v>50</v>
      </c>
      <c r="C101" s="62" t="s">
        <v>30</v>
      </c>
      <c r="D101" s="63" t="s">
        <v>58</v>
      </c>
      <c r="E101" s="63"/>
      <c r="F101" s="119"/>
      <c r="G101" s="7"/>
    </row>
    <row r="102" spans="1:7" s="8" customFormat="1" ht="12.75">
      <c r="A102" s="141"/>
      <c r="B102" s="17"/>
      <c r="C102" s="22"/>
      <c r="F102" s="119"/>
      <c r="G102" s="7"/>
    </row>
    <row r="103" spans="1:7" s="8" customFormat="1" ht="12.75">
      <c r="A103" s="145" t="s">
        <v>68</v>
      </c>
      <c r="B103" s="15">
        <f>B97*B101</f>
        <v>22.5</v>
      </c>
      <c r="C103" s="21" t="s">
        <v>69</v>
      </c>
      <c r="D103" s="60" t="s">
        <v>84</v>
      </c>
      <c r="F103" s="119"/>
      <c r="G103" s="7"/>
    </row>
    <row r="104" spans="1:7" s="8" customFormat="1" ht="12.75">
      <c r="A104" s="141" t="s">
        <v>32</v>
      </c>
      <c r="B104" s="41">
        <f>B103/(B98*1000)</f>
        <v>0.01611507000000001</v>
      </c>
      <c r="C104" s="21"/>
      <c r="D104" s="60" t="s">
        <v>70</v>
      </c>
      <c r="F104" s="119"/>
      <c r="G104" s="7"/>
    </row>
    <row r="105" spans="1:7" s="8" customFormat="1" ht="12.75">
      <c r="A105" s="141"/>
      <c r="B105" s="15"/>
      <c r="C105" s="21"/>
      <c r="F105" s="119"/>
      <c r="G105" s="7"/>
    </row>
    <row r="106" spans="1:7" s="8" customFormat="1" ht="13.5" thickBot="1">
      <c r="A106" s="151" t="s">
        <v>85</v>
      </c>
      <c r="B106" s="152"/>
      <c r="C106" s="153"/>
      <c r="D106" s="154"/>
      <c r="E106" s="136"/>
      <c r="F106" s="139"/>
      <c r="G106" s="7"/>
    </row>
    <row r="107" s="8" customFormat="1" ht="12.75">
      <c r="G107" s="7"/>
    </row>
    <row r="108" s="8" customFormat="1" ht="12.75">
      <c r="G108" s="7"/>
    </row>
    <row r="109" spans="1:7" s="8" customFormat="1" ht="12.75">
      <c r="A109" s="88" t="s">
        <v>34</v>
      </c>
      <c r="B109" s="43"/>
      <c r="C109" s="10"/>
      <c r="D109" s="10"/>
      <c r="E109" s="10"/>
      <c r="F109" s="5"/>
      <c r="G109" s="7"/>
    </row>
    <row r="110" spans="1:7" s="8" customFormat="1" ht="12.75">
      <c r="A110" s="33"/>
      <c r="B110" s="38"/>
      <c r="F110" s="26"/>
      <c r="G110" s="7"/>
    </row>
    <row r="111" spans="1:7" s="8" customFormat="1" ht="12.75">
      <c r="A111" s="33" t="s">
        <v>40</v>
      </c>
      <c r="B111" s="70">
        <v>1</v>
      </c>
      <c r="C111" s="40" t="s">
        <v>28</v>
      </c>
      <c r="F111" s="26"/>
      <c r="G111" s="7"/>
    </row>
    <row r="112" spans="1:7" s="8" customFormat="1" ht="12.75">
      <c r="A112" s="34" t="s">
        <v>35</v>
      </c>
      <c r="B112" s="38"/>
      <c r="F112" s="26"/>
      <c r="G112" s="7"/>
    </row>
    <row r="113" spans="1:7" s="8" customFormat="1" ht="12.75">
      <c r="A113" s="34" t="s">
        <v>86</v>
      </c>
      <c r="B113" s="38"/>
      <c r="F113" s="26"/>
      <c r="G113" s="7"/>
    </row>
    <row r="114" spans="1:7" s="8" customFormat="1" ht="12.75">
      <c r="A114" s="34" t="s">
        <v>36</v>
      </c>
      <c r="B114" s="38">
        <f>B111*B29</f>
        <v>21.718801097357932</v>
      </c>
      <c r="C114" s="8" t="s">
        <v>37</v>
      </c>
      <c r="F114" s="26"/>
      <c r="G114" s="7"/>
    </row>
    <row r="115" spans="1:7" s="8" customFormat="1" ht="12.75">
      <c r="A115" s="33"/>
      <c r="B115" s="67">
        <f>B114*1440/1000</f>
        <v>31.27507358019542</v>
      </c>
      <c r="C115" s="8" t="s">
        <v>38</v>
      </c>
      <c r="F115" s="26"/>
      <c r="G115" s="7"/>
    </row>
    <row r="116" spans="1:7" s="8" customFormat="1" ht="12.75">
      <c r="A116" s="33"/>
      <c r="B116" s="19">
        <f>B115/2</f>
        <v>15.63753679009771</v>
      </c>
      <c r="C116" s="16" t="s">
        <v>39</v>
      </c>
      <c r="E116" s="8" t="s">
        <v>59</v>
      </c>
      <c r="F116" s="26"/>
      <c r="G116" s="7"/>
    </row>
    <row r="117" spans="1:7" s="8" customFormat="1" ht="12.75">
      <c r="A117" s="33"/>
      <c r="B117" s="38"/>
      <c r="F117" s="26"/>
      <c r="G117" s="7"/>
    </row>
    <row r="118" spans="1:7" s="8" customFormat="1" ht="12.75">
      <c r="A118" s="33" t="s">
        <v>41</v>
      </c>
      <c r="B118" s="70">
        <v>1</v>
      </c>
      <c r="C118" s="40" t="s">
        <v>28</v>
      </c>
      <c r="F118" s="26"/>
      <c r="G118" s="7"/>
    </row>
    <row r="119" spans="1:7" s="8" customFormat="1" ht="12.75">
      <c r="A119" s="34" t="s">
        <v>42</v>
      </c>
      <c r="B119" s="39">
        <f>1*2^(720/B81)</f>
        <v>154.470015025891</v>
      </c>
      <c r="C119" s="8" t="s">
        <v>28</v>
      </c>
      <c r="D119" s="71" t="s">
        <v>122</v>
      </c>
      <c r="F119" s="26"/>
      <c r="G119" s="7" t="s">
        <v>61</v>
      </c>
    </row>
    <row r="120" spans="1:7" s="8" customFormat="1" ht="12.75">
      <c r="A120" s="34" t="s">
        <v>43</v>
      </c>
      <c r="B120" s="45">
        <f>(B119+B118)/2</f>
        <v>77.7350075129455</v>
      </c>
      <c r="C120" s="46" t="s">
        <v>28</v>
      </c>
      <c r="D120" s="46" t="s">
        <v>45</v>
      </c>
      <c r="E120" s="46"/>
      <c r="F120" s="26"/>
      <c r="G120" s="7"/>
    </row>
    <row r="121" spans="1:8" s="8" customFormat="1" ht="12.75">
      <c r="A121" s="34" t="s">
        <v>44</v>
      </c>
      <c r="B121" s="73">
        <f>B116*B120</f>
        <v>1215.5840398622072</v>
      </c>
      <c r="C121" s="72" t="s">
        <v>39</v>
      </c>
      <c r="D121" s="8" t="s">
        <v>45</v>
      </c>
      <c r="F121" s="26"/>
      <c r="G121" s="7"/>
      <c r="H121" s="36"/>
    </row>
    <row r="122" spans="6:8" s="8" customFormat="1" ht="12.75">
      <c r="F122" s="26"/>
      <c r="G122" s="7"/>
      <c r="H122" s="23"/>
    </row>
    <row r="123" spans="1:7" ht="12.75">
      <c r="A123" s="74" t="s">
        <v>43</v>
      </c>
      <c r="B123" s="75">
        <f>(($B$119-$B$118)/0.007)/720</f>
        <v>30.450399806724402</v>
      </c>
      <c r="C123" s="27" t="s">
        <v>28</v>
      </c>
      <c r="D123" s="48" t="s">
        <v>71</v>
      </c>
      <c r="E123" s="103"/>
      <c r="F123" s="104" t="s">
        <v>118</v>
      </c>
      <c r="G123" s="44"/>
    </row>
    <row r="124" spans="1:6" ht="12.75">
      <c r="A124" s="76" t="s">
        <v>44</v>
      </c>
      <c r="B124" s="77">
        <f>B123*$B$29*720/10^3</f>
        <v>476.16924725083703</v>
      </c>
      <c r="C124" s="78" t="s">
        <v>39</v>
      </c>
      <c r="D124" s="78" t="s">
        <v>71</v>
      </c>
      <c r="E124" s="11"/>
      <c r="F124" s="105" t="s">
        <v>117</v>
      </c>
    </row>
    <row r="125" spans="1:5" ht="12.75">
      <c r="A125" s="161" t="s">
        <v>44</v>
      </c>
      <c r="B125" s="160">
        <f>B119*B95*1000</f>
        <v>479271.9331218882</v>
      </c>
      <c r="C125" s="161" t="s">
        <v>69</v>
      </c>
      <c r="D125" s="161" t="s">
        <v>128</v>
      </c>
      <c r="E125" s="162"/>
    </row>
    <row r="126" spans="2:5" ht="12.75">
      <c r="B126" s="160">
        <f>B125/1000</f>
        <v>479.2719331218882</v>
      </c>
      <c r="C126" s="161" t="s">
        <v>39</v>
      </c>
      <c r="D126" s="162"/>
      <c r="E126" s="162"/>
    </row>
    <row r="127" spans="1:6" ht="12.75">
      <c r="A127" s="88" t="s">
        <v>46</v>
      </c>
      <c r="B127" s="43"/>
      <c r="C127" s="35"/>
      <c r="D127" s="35"/>
      <c r="E127" s="10"/>
      <c r="F127" s="5"/>
    </row>
    <row r="128" spans="1:6" ht="12.75">
      <c r="A128" s="25"/>
      <c r="B128" s="38"/>
      <c r="C128" s="9"/>
      <c r="D128" s="9"/>
      <c r="E128" s="8"/>
      <c r="F128" s="26"/>
    </row>
    <row r="129" spans="1:6" ht="12.75">
      <c r="A129" s="25" t="s">
        <v>47</v>
      </c>
      <c r="B129" s="8">
        <v>30</v>
      </c>
      <c r="C129" s="8" t="s">
        <v>1</v>
      </c>
      <c r="D129" s="8"/>
      <c r="E129" s="8"/>
      <c r="F129" s="26"/>
    </row>
    <row r="130" spans="1:6" ht="12.75">
      <c r="A130" s="25" t="s">
        <v>48</v>
      </c>
      <c r="B130" s="8">
        <v>900</v>
      </c>
      <c r="C130" s="42" t="s">
        <v>9</v>
      </c>
      <c r="D130" s="8"/>
      <c r="E130" s="8"/>
      <c r="F130" s="26"/>
    </row>
    <row r="131" spans="1:6" ht="12.75">
      <c r="A131" s="25"/>
      <c r="B131" s="8"/>
      <c r="C131" s="8"/>
      <c r="D131" s="8"/>
      <c r="E131" s="8"/>
      <c r="F131" s="26"/>
    </row>
    <row r="132" spans="1:6" s="8" customFormat="1" ht="12.75">
      <c r="A132" s="28" t="s">
        <v>49</v>
      </c>
      <c r="B132" s="90">
        <f>(B130/C21)*(B26/B129)</f>
        <v>0.6515640329207381</v>
      </c>
      <c r="D132" s="60" t="s">
        <v>87</v>
      </c>
      <c r="F132" s="26"/>
    </row>
    <row r="133" spans="1:6" s="8" customFormat="1" ht="12.75">
      <c r="A133" s="25"/>
      <c r="F133" s="26"/>
    </row>
    <row r="134" spans="1:6" s="8" customFormat="1" ht="12.75">
      <c r="A134" s="32" t="s">
        <v>44</v>
      </c>
      <c r="B134" s="29">
        <f>B116/B132</f>
        <v>23.999999999999996</v>
      </c>
      <c r="C134" s="29" t="s">
        <v>39</v>
      </c>
      <c r="D134" s="66" t="s">
        <v>88</v>
      </c>
      <c r="E134" s="11"/>
      <c r="F134" s="6"/>
    </row>
    <row r="135" s="8" customFormat="1" ht="12.75"/>
    <row r="136" s="8" customFormat="1" ht="12.75"/>
    <row r="137" spans="1:6" s="8" customFormat="1" ht="12.75">
      <c r="A137" s="88" t="s">
        <v>53</v>
      </c>
      <c r="B137" s="37"/>
      <c r="C137" s="10"/>
      <c r="D137" s="10"/>
      <c r="E137" s="10"/>
      <c r="F137" s="5"/>
    </row>
    <row r="138" spans="1:6" s="8" customFormat="1" ht="12.75">
      <c r="A138" s="30"/>
      <c r="B138" s="13"/>
      <c r="F138" s="26"/>
    </row>
    <row r="139" spans="1:6" s="8" customFormat="1" ht="12.75">
      <c r="A139" s="25" t="s">
        <v>50</v>
      </c>
      <c r="B139" s="8">
        <v>6</v>
      </c>
      <c r="C139" s="8" t="s">
        <v>4</v>
      </c>
      <c r="F139" s="26"/>
    </row>
    <row r="140" spans="1:6" s="8" customFormat="1" ht="12.75">
      <c r="A140" s="25" t="s">
        <v>54</v>
      </c>
      <c r="F140" s="26"/>
    </row>
    <row r="141" spans="1:6" s="8" customFormat="1" ht="12.75">
      <c r="A141" s="25"/>
      <c r="F141" s="26"/>
    </row>
    <row r="142" spans="1:6" s="8" customFormat="1" ht="12.75">
      <c r="A142" s="97" t="s">
        <v>89</v>
      </c>
      <c r="B142" s="156" t="s">
        <v>124</v>
      </c>
      <c r="C142" s="97"/>
      <c r="D142" s="157"/>
      <c r="E142" s="97"/>
      <c r="F142" s="26"/>
    </row>
    <row r="143" spans="1:6" s="8" customFormat="1" ht="12.75">
      <c r="A143" s="79"/>
      <c r="B143" s="80" t="s">
        <v>123</v>
      </c>
      <c r="C143" s="49"/>
      <c r="D143" s="81"/>
      <c r="E143" s="49"/>
      <c r="F143" s="6"/>
    </row>
  </sheetData>
  <sheetProtection/>
  <mergeCells count="5">
    <mergeCell ref="C2:D2"/>
    <mergeCell ref="A61:F61"/>
    <mergeCell ref="A68:F68"/>
    <mergeCell ref="A70:F70"/>
    <mergeCell ref="A76:F76"/>
  </mergeCells>
  <printOptions/>
  <pageMargins left="0.787401575" right="0.787401575" top="0.984251969" bottom="0.984251969" header="0.4921259845" footer="0.4921259845"/>
  <pageSetup horizontalDpi="600" verticalDpi="600" orientation="portrait" paperSize="9" r:id="rId5"/>
  <headerFooter alignWithMargins="0">
    <oddHeader>&amp;C&amp;F</oddHeader>
  </headerFooter>
  <drawing r:id="rId4"/>
  <legacyDrawing r:id="rId3"/>
  <oleObjects>
    <oleObject progId="Equation.3" shapeId="247992" r:id="rId1"/>
    <oleObject progId="Equation.3" shapeId="3003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4:E15"/>
  <sheetViews>
    <sheetView zoomScalePageLayoutView="0" workbookViewId="0" topLeftCell="A1">
      <selection activeCell="N15" sqref="N15"/>
    </sheetView>
  </sheetViews>
  <sheetFormatPr defaultColWidth="11.421875" defaultRowHeight="12.75"/>
  <sheetData>
    <row r="3" ht="13.5" thickBot="1"/>
    <row r="4" spans="2:3" ht="12.75">
      <c r="B4" s="82" t="s">
        <v>5</v>
      </c>
      <c r="C4" s="83" t="s">
        <v>8</v>
      </c>
    </row>
    <row r="5" spans="2:3" ht="12.75">
      <c r="B5" s="84">
        <v>1</v>
      </c>
      <c r="C5" s="85">
        <v>14.9</v>
      </c>
    </row>
    <row r="6" spans="2:3" ht="12.75">
      <c r="B6" s="84">
        <v>5</v>
      </c>
      <c r="C6" s="85">
        <v>14.52</v>
      </c>
    </row>
    <row r="7" spans="2:5" ht="12.75">
      <c r="B7" s="84">
        <v>10</v>
      </c>
      <c r="C7" s="85">
        <v>14.04</v>
      </c>
      <c r="E7" s="2"/>
    </row>
    <row r="8" spans="2:3" ht="12.75">
      <c r="B8" s="84">
        <v>20</v>
      </c>
      <c r="C8" s="85">
        <v>13.14</v>
      </c>
    </row>
    <row r="9" spans="2:3" ht="12.75">
      <c r="B9" s="84">
        <v>30</v>
      </c>
      <c r="C9" s="85">
        <v>12.27</v>
      </c>
    </row>
    <row r="10" spans="2:3" ht="12.75">
      <c r="B10" s="84">
        <v>60</v>
      </c>
      <c r="C10" s="85">
        <v>10.05</v>
      </c>
    </row>
    <row r="11" spans="2:3" ht="12.75">
      <c r="B11" s="84">
        <v>120</v>
      </c>
      <c r="C11" s="85">
        <v>6.75</v>
      </c>
    </row>
    <row r="12" spans="2:3" ht="12.75">
      <c r="B12" s="84">
        <v>240</v>
      </c>
      <c r="C12" s="85">
        <v>3.0300000000000002</v>
      </c>
    </row>
    <row r="13" spans="2:3" ht="12.75">
      <c r="B13" s="84">
        <v>360</v>
      </c>
      <c r="C13" s="85">
        <v>1.35</v>
      </c>
    </row>
    <row r="14" spans="2:3" ht="12.75">
      <c r="B14" s="84">
        <v>480</v>
      </c>
      <c r="C14" s="85">
        <v>0.6000000000000001</v>
      </c>
    </row>
    <row r="15" spans="2:3" ht="13.5" thickBot="1">
      <c r="B15" s="86">
        <v>720</v>
      </c>
      <c r="C15" s="87">
        <v>0.1236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BOUSQUET-MELOU</dc:creator>
  <cp:keywords/>
  <dc:description/>
  <cp:lastModifiedBy>Alain BOUSQUET-MELOU</cp:lastModifiedBy>
  <cp:lastPrinted>2012-03-30T15:01:37Z</cp:lastPrinted>
  <dcterms:created xsi:type="dcterms:W3CDTF">2005-09-07T06:52:51Z</dcterms:created>
  <dcterms:modified xsi:type="dcterms:W3CDTF">2017-04-14T16:58:28Z</dcterms:modified>
  <cp:category/>
  <cp:version/>
  <cp:contentType/>
  <cp:contentStatus/>
</cp:coreProperties>
</file>